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tatiana.khansuvarova\Desktop\19 августа 2020\"/>
    </mc:Choice>
  </mc:AlternateContent>
  <xr:revisionPtr revIDLastSave="0" documentId="13_ncr:1_{958C7DD6-D55D-401D-863B-7191FEADE02E}" xr6:coauthVersionLast="45" xr6:coauthVersionMax="45" xr10:uidLastSave="{00000000-0000-0000-0000-000000000000}"/>
  <bookViews>
    <workbookView xWindow="-120" yWindow="-120" windowWidth="29040" windowHeight="15840" tabRatio="791" xr2:uid="{00000000-000D-0000-FFFF-FFFF00000000}"/>
  </bookViews>
  <sheets>
    <sheet name="Summary" sheetId="7" r:id="rId1"/>
    <sheet name="P&amp;L" sheetId="3" r:id="rId2"/>
    <sheet name="Balance sheet" sheetId="10" r:id="rId3"/>
    <sheet name="Cash flow" sheetId="11" r:id="rId4"/>
    <sheet name="Segment data" sheetId="18" r:id="rId5"/>
    <sheet name="Container Market Statictics" sheetId="19" r:id="rId6"/>
    <sheet name="Operational Data" sheetId="5" r:id="rId7"/>
    <sheet name="Non-IFRS financial measures" sheetId="4" r:id="rId8"/>
    <sheet name="Debt and Borrowings" sheetId="16" r:id="rId9"/>
    <sheet name="Securities" sheetId="6" r:id="rId10"/>
    <sheet name="Dividends" sheetId="15" r:id="rId11"/>
    <sheet name="Assets Description" sheetId="12" r:id="rId12"/>
    <sheet name="ESG" sheetId="17" r:id="rId13"/>
    <sheet name="Ratings" sheetId="8"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9" i="16" l="1"/>
  <c r="AB27" i="16"/>
  <c r="P17" i="16" l="1"/>
  <c r="AM64" i="11" l="1"/>
  <c r="AP71" i="3"/>
  <c r="AP10" i="3" l="1"/>
  <c r="AB52" i="16" l="1"/>
  <c r="AB17" i="16"/>
  <c r="AB8" i="16"/>
  <c r="AB9" i="16"/>
  <c r="AB10" i="16"/>
  <c r="AB7" i="16"/>
  <c r="AB15" i="16" s="1"/>
  <c r="AO26" i="4"/>
  <c r="AO24" i="4"/>
  <c r="AO47" i="4"/>
  <c r="AO44" i="4"/>
  <c r="AO32" i="4"/>
  <c r="AO33" i="4"/>
  <c r="AO34" i="4"/>
  <c r="AO35" i="4"/>
  <c r="AO36" i="4"/>
  <c r="AO37" i="4"/>
  <c r="AO38" i="4"/>
  <c r="AO39" i="4"/>
  <c r="AO30" i="4"/>
  <c r="AO40" i="4" s="1"/>
  <c r="AL67" i="18"/>
  <c r="AL51" i="18"/>
  <c r="AL55" i="18" s="1"/>
  <c r="AL191" i="18"/>
  <c r="AL193" i="18" s="1"/>
  <c r="AL181" i="18"/>
  <c r="AO48" i="4" l="1"/>
  <c r="AO49" i="4" s="1"/>
  <c r="AO6" i="4"/>
  <c r="AB18" i="16"/>
  <c r="AB11" i="16"/>
  <c r="AB42" i="16" s="1"/>
  <c r="AL9" i="18"/>
  <c r="AO19" i="4" s="1"/>
  <c r="AL13" i="18" l="1"/>
  <c r="AL23" i="18" s="1"/>
  <c r="AL25" i="18" s="1"/>
  <c r="AL134" i="18"/>
  <c r="AL138" i="18" s="1"/>
  <c r="AN74" i="11" l="1"/>
  <c r="AN59" i="11"/>
  <c r="AN36" i="11"/>
  <c r="AB51" i="16" s="1"/>
  <c r="AO42" i="4" l="1"/>
  <c r="AO45" i="4" s="1"/>
  <c r="AO7" i="4" s="1"/>
  <c r="AN76" i="11"/>
  <c r="AC38" i="10"/>
  <c r="AC37" i="10" s="1"/>
  <c r="AC24" i="10"/>
  <c r="AQ46" i="3"/>
  <c r="AQ47" i="3" s="1"/>
  <c r="AO9" i="4" s="1"/>
  <c r="AQ64" i="3"/>
  <c r="AQ65" i="3" s="1"/>
  <c r="AO10" i="4" s="1"/>
  <c r="AQ14" i="3"/>
  <c r="AQ77" i="3" l="1"/>
  <c r="AQ78" i="3" s="1"/>
  <c r="AO11" i="4" s="1"/>
  <c r="H16" i="12" l="1"/>
  <c r="H14" i="12"/>
  <c r="H10" i="12"/>
  <c r="H9" i="12"/>
  <c r="H8" i="12"/>
  <c r="H7" i="12"/>
  <c r="AQ21" i="5"/>
  <c r="AQ20" i="5"/>
  <c r="AP15" i="19"/>
  <c r="AP16" i="19"/>
  <c r="AP17" i="19"/>
  <c r="AP18" i="19"/>
  <c r="AO22" i="4" l="1"/>
  <c r="AO27" i="4"/>
  <c r="O81" i="19"/>
  <c r="O71" i="19"/>
  <c r="O70" i="19"/>
  <c r="O69" i="19"/>
  <c r="O68" i="19"/>
  <c r="O67" i="19"/>
  <c r="O66" i="19"/>
  <c r="O63" i="19"/>
  <c r="O54" i="19"/>
  <c r="O43" i="19"/>
  <c r="O42" i="19"/>
  <c r="O41" i="19"/>
  <c r="O40" i="19"/>
  <c r="O39" i="19"/>
  <c r="O36" i="19"/>
  <c r="O26" i="19"/>
  <c r="O17" i="19"/>
  <c r="O72" i="19" l="1"/>
  <c r="O44" i="19"/>
  <c r="O16" i="19"/>
  <c r="O27" i="19"/>
  <c r="O45" i="19" s="1"/>
  <c r="O18" i="19"/>
  <c r="O15" i="19"/>
  <c r="P22" i="4"/>
  <c r="P205" i="18" l="1"/>
  <c r="P193" i="18"/>
  <c r="P181" i="18"/>
  <c r="AK179" i="18"/>
  <c r="Q28" i="11"/>
  <c r="Q33" i="11" s="1"/>
  <c r="Q27" i="10"/>
  <c r="Q26" i="10" s="1"/>
  <c r="AP11" i="3"/>
  <c r="R19" i="3"/>
  <c r="AN20" i="4" l="1"/>
  <c r="P56" i="16"/>
  <c r="P26" i="16"/>
  <c r="P28" i="16" s="1"/>
  <c r="P27" i="16"/>
  <c r="P52" i="16" s="1"/>
  <c r="P29" i="16"/>
  <c r="P10" i="16"/>
  <c r="P9" i="16"/>
  <c r="P7" i="16"/>
  <c r="P8" i="16"/>
  <c r="AK198" i="18"/>
  <c r="AK199" i="18"/>
  <c r="AK200" i="18"/>
  <c r="AK201" i="18"/>
  <c r="AK202" i="18"/>
  <c r="AK203" i="18"/>
  <c r="AK204" i="18"/>
  <c r="AK206" i="18"/>
  <c r="AK207" i="18"/>
  <c r="AK208" i="18"/>
  <c r="AK209" i="18"/>
  <c r="AK210" i="18"/>
  <c r="AK211" i="18"/>
  <c r="AK212" i="18"/>
  <c r="AK214" i="18"/>
  <c r="AK197" i="18"/>
  <c r="AK155" i="18"/>
  <c r="AK156" i="18"/>
  <c r="AK157" i="18"/>
  <c r="AK158" i="18"/>
  <c r="AK159" i="18"/>
  <c r="AK160" i="18"/>
  <c r="AK161" i="18"/>
  <c r="AK163" i="18"/>
  <c r="AK164" i="18"/>
  <c r="AK165" i="18"/>
  <c r="AK166" i="18"/>
  <c r="AK167" i="18"/>
  <c r="AK168" i="18"/>
  <c r="AK169" i="18"/>
  <c r="AK171" i="18"/>
  <c r="P162" i="18"/>
  <c r="AK162" i="18" s="1"/>
  <c r="P150" i="18"/>
  <c r="AK154" i="18"/>
  <c r="AK72" i="18"/>
  <c r="AK73" i="18"/>
  <c r="AK74" i="18"/>
  <c r="AK75" i="18"/>
  <c r="AK76" i="18"/>
  <c r="AK77" i="18"/>
  <c r="AK78" i="18"/>
  <c r="AK79" i="18"/>
  <c r="AK80" i="18"/>
  <c r="AK81" i="18"/>
  <c r="AK82" i="18"/>
  <c r="AK83" i="18"/>
  <c r="AK84" i="18"/>
  <c r="AK85" i="18"/>
  <c r="AK86" i="18"/>
  <c r="AK87" i="18"/>
  <c r="AK88" i="18"/>
  <c r="AK71" i="18"/>
  <c r="S42" i="18"/>
  <c r="U42" i="18"/>
  <c r="W42" i="18"/>
  <c r="Y42" i="18"/>
  <c r="AA42" i="18"/>
  <c r="AC42" i="18"/>
  <c r="AE42" i="18"/>
  <c r="AG42" i="18"/>
  <c r="AI42" i="18"/>
  <c r="AK30" i="18"/>
  <c r="AK31" i="18"/>
  <c r="AK32" i="18"/>
  <c r="AK33" i="18"/>
  <c r="AK34" i="18"/>
  <c r="AK35" i="18"/>
  <c r="AK36" i="18"/>
  <c r="AK38" i="18"/>
  <c r="AK39" i="18"/>
  <c r="AK40" i="18"/>
  <c r="AK41" i="18"/>
  <c r="AK42" i="18"/>
  <c r="AK43" i="18"/>
  <c r="AK44" i="18"/>
  <c r="AK46" i="18"/>
  <c r="AK29" i="18"/>
  <c r="AK195" i="18"/>
  <c r="AK189" i="18"/>
  <c r="AK186" i="18"/>
  <c r="AK184" i="18"/>
  <c r="AK175" i="18"/>
  <c r="AK174" i="18"/>
  <c r="AK146" i="18"/>
  <c r="AK69" i="18"/>
  <c r="AK66" i="18"/>
  <c r="AK63" i="18"/>
  <c r="AK61" i="18"/>
  <c r="AK60" i="18"/>
  <c r="AK58" i="18"/>
  <c r="AK54" i="18"/>
  <c r="AK53" i="18"/>
  <c r="AK52" i="18"/>
  <c r="AK50" i="18"/>
  <c r="AK49" i="18"/>
  <c r="AK8" i="18"/>
  <c r="AK10" i="18"/>
  <c r="AK16" i="18"/>
  <c r="AK19" i="18"/>
  <c r="AK21" i="18"/>
  <c r="AK27" i="18"/>
  <c r="AK7" i="18"/>
  <c r="P24" i="4"/>
  <c r="O24" i="4"/>
  <c r="P19" i="4"/>
  <c r="P138" i="18"/>
  <c r="P67" i="18"/>
  <c r="P13" i="18"/>
  <c r="P37" i="18"/>
  <c r="AK37" i="18" s="1"/>
  <c r="AK9" i="18" l="1"/>
  <c r="AK51" i="18"/>
  <c r="AK55" i="18" s="1"/>
  <c r="P11" i="16"/>
  <c r="P15" i="16" s="1"/>
  <c r="P18" i="16" s="1"/>
  <c r="P30" i="16"/>
  <c r="P42" i="16" l="1"/>
  <c r="P47" i="4"/>
  <c r="P44" i="4"/>
  <c r="P36" i="4"/>
  <c r="P38" i="4"/>
  <c r="P39" i="4"/>
  <c r="P32" i="4"/>
  <c r="P33" i="4"/>
  <c r="P34" i="4"/>
  <c r="P35" i="4"/>
  <c r="AM78" i="11"/>
  <c r="AM34" i="11"/>
  <c r="AM35" i="11"/>
  <c r="AM37" i="11"/>
  <c r="AM38" i="11"/>
  <c r="AM39" i="11"/>
  <c r="AM40" i="11"/>
  <c r="AM41" i="11"/>
  <c r="AM42" i="11"/>
  <c r="AM43" i="11"/>
  <c r="AM44" i="11"/>
  <c r="AM45" i="11"/>
  <c r="AM46" i="11"/>
  <c r="AM47" i="11"/>
  <c r="AN44" i="4" s="1"/>
  <c r="AM48" i="11"/>
  <c r="AM49" i="11"/>
  <c r="AM50" i="11"/>
  <c r="AM51" i="11"/>
  <c r="AM52" i="11"/>
  <c r="AM53" i="11"/>
  <c r="AB28" i="16" s="1"/>
  <c r="AM54" i="11"/>
  <c r="AM55" i="11"/>
  <c r="AM56" i="11"/>
  <c r="AM57" i="11"/>
  <c r="AM58" i="11"/>
  <c r="AM62" i="11"/>
  <c r="AM63" i="11"/>
  <c r="AM65" i="11"/>
  <c r="AM66" i="11"/>
  <c r="AM67" i="11"/>
  <c r="AM68" i="11"/>
  <c r="AM69" i="11"/>
  <c r="AM70" i="11"/>
  <c r="AM71" i="11"/>
  <c r="AM72" i="11"/>
  <c r="AM73" i="11"/>
  <c r="P28" i="11"/>
  <c r="Q74" i="11"/>
  <c r="AM61" i="11"/>
  <c r="Q59" i="11"/>
  <c r="AP69" i="3"/>
  <c r="AP70" i="3"/>
  <c r="AP72" i="3"/>
  <c r="AP73" i="3"/>
  <c r="AP74" i="3"/>
  <c r="AP75" i="3"/>
  <c r="AP76" i="3"/>
  <c r="AP68" i="3"/>
  <c r="AP77" i="3" s="1"/>
  <c r="AP78" i="3" s="1"/>
  <c r="AP51" i="3"/>
  <c r="AP52" i="3"/>
  <c r="AP53" i="3"/>
  <c r="AP54" i="3"/>
  <c r="AP55" i="3"/>
  <c r="AP56" i="3"/>
  <c r="AP57" i="3"/>
  <c r="AP58" i="3"/>
  <c r="AP59" i="3"/>
  <c r="AP60" i="3"/>
  <c r="AP61" i="3"/>
  <c r="AP62" i="3"/>
  <c r="AP63" i="3"/>
  <c r="AP50" i="3"/>
  <c r="AP32" i="3"/>
  <c r="AN35" i="4" s="1"/>
  <c r="AP33" i="3"/>
  <c r="AN36" i="4" s="1"/>
  <c r="AP34" i="3"/>
  <c r="AN34" i="4" s="1"/>
  <c r="AP35" i="3"/>
  <c r="AP36" i="3"/>
  <c r="AP37" i="3"/>
  <c r="AP38" i="3"/>
  <c r="AP39" i="3"/>
  <c r="AP40" i="3"/>
  <c r="AP41" i="3"/>
  <c r="AP42" i="3"/>
  <c r="AP43" i="3"/>
  <c r="AP44" i="3"/>
  <c r="AP45" i="3"/>
  <c r="AP31" i="3"/>
  <c r="AP12" i="3"/>
  <c r="AN39" i="4" s="1"/>
  <c r="AP15" i="3"/>
  <c r="AP16" i="3"/>
  <c r="AP18" i="3"/>
  <c r="AP21" i="3"/>
  <c r="AN32" i="4" s="1"/>
  <c r="AP24" i="3"/>
  <c r="AP25" i="3"/>
  <c r="AP27" i="3"/>
  <c r="AP7" i="3"/>
  <c r="Q46" i="10"/>
  <c r="Q38" i="10"/>
  <c r="Q16" i="10"/>
  <c r="Q7" i="10"/>
  <c r="R77" i="3"/>
  <c r="R78" i="3" s="1"/>
  <c r="S65" i="3"/>
  <c r="R64" i="3"/>
  <c r="R46" i="3"/>
  <c r="R47" i="3" s="1"/>
  <c r="P9" i="4" s="1"/>
  <c r="R9" i="3"/>
  <c r="R14" i="3" s="1"/>
  <c r="R20" i="3" s="1"/>
  <c r="R22" i="3" s="1"/>
  <c r="AB30" i="16" l="1"/>
  <c r="AM74" i="11"/>
  <c r="R65" i="3"/>
  <c r="P10" i="4" s="1"/>
  <c r="Q24" i="10"/>
  <c r="AP46" i="3"/>
  <c r="AP47" i="3" s="1"/>
  <c r="AM59" i="11"/>
  <c r="AN47" i="4"/>
  <c r="AN24" i="4"/>
  <c r="AN37" i="4"/>
  <c r="P30" i="4"/>
  <c r="P40" i="4"/>
  <c r="Q54" i="10"/>
  <c r="Q37" i="10"/>
  <c r="P11" i="4" l="1"/>
  <c r="P6" i="4"/>
  <c r="P20" i="16"/>
  <c r="P21" i="16" s="1"/>
  <c r="P48" i="4"/>
  <c r="P49" i="4" s="1"/>
  <c r="Q36" i="11"/>
  <c r="AM33" i="11"/>
  <c r="AM36" i="11" s="1"/>
  <c r="AB50" i="16" s="1"/>
  <c r="AB46" i="16" s="1"/>
  <c r="P45" i="16" l="1"/>
  <c r="P22" i="16"/>
  <c r="Q76" i="11"/>
  <c r="P51" i="16"/>
  <c r="P50" i="16" s="1"/>
  <c r="P42" i="4"/>
  <c r="P45" i="4" s="1"/>
  <c r="P7" i="4" s="1"/>
  <c r="AN42" i="4" l="1"/>
  <c r="AN45" i="4" s="1"/>
  <c r="AN7" i="4" s="1"/>
  <c r="AM76" i="11"/>
  <c r="P55" i="16"/>
  <c r="P54" i="16" s="1"/>
  <c r="P47" i="16" s="1"/>
  <c r="P46" i="16"/>
  <c r="P55" i="18"/>
  <c r="P170" i="18" l="1"/>
  <c r="AK170" i="18" s="1"/>
  <c r="P45" i="18"/>
  <c r="AK45" i="18" s="1"/>
  <c r="AK205" i="18" l="1"/>
  <c r="P213" i="18"/>
  <c r="AK213" i="18" s="1"/>
  <c r="P25" i="4" l="1"/>
  <c r="AN25" i="4" l="1"/>
  <c r="AP32" i="5"/>
  <c r="AP31" i="5"/>
  <c r="AP27" i="5"/>
  <c r="AP18" i="5"/>
  <c r="AP21" i="5" s="1"/>
  <c r="AP17" i="5"/>
  <c r="AP16" i="5"/>
  <c r="AP10" i="5"/>
  <c r="AP20" i="5" s="1"/>
  <c r="AN22" i="4" s="1"/>
  <c r="AP11" i="5"/>
  <c r="AP12" i="5"/>
  <c r="AP9" i="5"/>
  <c r="Q21" i="5"/>
  <c r="AN27" i="4" l="1"/>
  <c r="Q20" i="5"/>
  <c r="P27" i="4" s="1"/>
  <c r="AO76" i="19"/>
  <c r="AO77" i="19"/>
  <c r="AO78" i="19"/>
  <c r="AO79" i="19"/>
  <c r="AO80" i="19"/>
  <c r="AO75" i="19"/>
  <c r="AO58" i="19"/>
  <c r="AO59" i="19"/>
  <c r="AO60" i="19"/>
  <c r="AO61" i="19"/>
  <c r="AO62" i="19"/>
  <c r="AO57" i="19"/>
  <c r="AO49" i="19"/>
  <c r="AO50" i="19"/>
  <c r="AO51" i="19"/>
  <c r="AO52" i="19"/>
  <c r="AO53" i="19"/>
  <c r="AO48" i="19"/>
  <c r="AO31" i="19"/>
  <c r="AO32" i="19"/>
  <c r="AO33" i="19"/>
  <c r="AO34" i="19"/>
  <c r="AO35" i="19"/>
  <c r="AO30" i="19"/>
  <c r="AO22" i="19"/>
  <c r="AO23" i="19"/>
  <c r="AO24" i="19"/>
  <c r="AO25" i="19"/>
  <c r="AO26" i="19"/>
  <c r="AO21" i="19"/>
  <c r="AO6" i="19"/>
  <c r="AO7" i="19"/>
  <c r="AO8" i="19"/>
  <c r="AO9" i="19"/>
  <c r="AO10" i="19"/>
  <c r="AO5" i="19"/>
  <c r="L104" i="18" l="1"/>
  <c r="AM77" i="3" l="1"/>
  <c r="E67" i="19" l="1"/>
  <c r="F67" i="19"/>
  <c r="E68" i="19"/>
  <c r="F68" i="19"/>
  <c r="E69" i="19"/>
  <c r="F69" i="19"/>
  <c r="E70" i="19"/>
  <c r="F70" i="19"/>
  <c r="E71" i="19"/>
  <c r="F71" i="19"/>
  <c r="E66" i="19"/>
  <c r="F66" i="19"/>
  <c r="R67" i="19"/>
  <c r="S67" i="19"/>
  <c r="T67" i="19"/>
  <c r="U67" i="19"/>
  <c r="V67" i="19"/>
  <c r="W67" i="19"/>
  <c r="X67" i="19"/>
  <c r="Y67" i="19"/>
  <c r="Z67" i="19"/>
  <c r="AA67" i="19"/>
  <c r="AB67" i="19"/>
  <c r="AC67" i="19"/>
  <c r="AD67" i="19"/>
  <c r="AE67" i="19"/>
  <c r="AF67" i="19"/>
  <c r="AG67" i="19"/>
  <c r="AH67" i="19"/>
  <c r="AI67" i="19"/>
  <c r="AJ67" i="19"/>
  <c r="AK67" i="19"/>
  <c r="AL67" i="19"/>
  <c r="AM67" i="19"/>
  <c r="AN67" i="19"/>
  <c r="AO67" i="19" s="1"/>
  <c r="R68" i="19"/>
  <c r="S68" i="19"/>
  <c r="T68" i="19"/>
  <c r="U68" i="19"/>
  <c r="V68" i="19"/>
  <c r="W68" i="19"/>
  <c r="X68" i="19"/>
  <c r="Y68" i="19"/>
  <c r="Z68" i="19"/>
  <c r="AA68" i="19"/>
  <c r="AB68" i="19"/>
  <c r="AC68" i="19"/>
  <c r="AD68" i="19"/>
  <c r="AE68" i="19"/>
  <c r="AF68" i="19"/>
  <c r="AG68" i="19"/>
  <c r="AH68" i="19"/>
  <c r="AI68" i="19"/>
  <c r="AJ68" i="19"/>
  <c r="AK68" i="19"/>
  <c r="AL68" i="19"/>
  <c r="AM68" i="19"/>
  <c r="AN68" i="19"/>
  <c r="AO68" i="19" s="1"/>
  <c r="R69" i="19"/>
  <c r="S69" i="19"/>
  <c r="T69" i="19"/>
  <c r="U69" i="19"/>
  <c r="V69" i="19"/>
  <c r="W69" i="19"/>
  <c r="X69" i="19"/>
  <c r="Y69" i="19"/>
  <c r="Z69" i="19"/>
  <c r="AA69" i="19"/>
  <c r="AB69" i="19"/>
  <c r="AC69" i="19"/>
  <c r="AD69" i="19"/>
  <c r="AE69" i="19"/>
  <c r="AF69" i="19"/>
  <c r="AG69" i="19"/>
  <c r="AH69" i="19"/>
  <c r="AI69" i="19"/>
  <c r="AJ69" i="19"/>
  <c r="AK69" i="19"/>
  <c r="AL69" i="19"/>
  <c r="AM69" i="19"/>
  <c r="AN69" i="19"/>
  <c r="AO69" i="19" s="1"/>
  <c r="R70" i="19"/>
  <c r="S70" i="19"/>
  <c r="T70" i="19"/>
  <c r="U70" i="19"/>
  <c r="V70" i="19"/>
  <c r="W70" i="19"/>
  <c r="X70" i="19"/>
  <c r="Y70" i="19"/>
  <c r="Z70" i="19"/>
  <c r="AA70" i="19"/>
  <c r="AB70" i="19"/>
  <c r="AC70" i="19"/>
  <c r="AD70" i="19"/>
  <c r="AE70" i="19"/>
  <c r="AF70" i="19"/>
  <c r="AG70" i="19"/>
  <c r="AH70" i="19"/>
  <c r="AI70" i="19"/>
  <c r="AJ70" i="19"/>
  <c r="AK70" i="19"/>
  <c r="AL70" i="19"/>
  <c r="AM70" i="19"/>
  <c r="AN70" i="19"/>
  <c r="AO70" i="19" s="1"/>
  <c r="R71" i="19"/>
  <c r="S71" i="19"/>
  <c r="T71" i="19"/>
  <c r="U71" i="19"/>
  <c r="V71" i="19"/>
  <c r="W71" i="19"/>
  <c r="X71" i="19"/>
  <c r="Y71" i="19"/>
  <c r="Z71" i="19"/>
  <c r="AA71" i="19"/>
  <c r="AB71" i="19"/>
  <c r="AC71" i="19"/>
  <c r="AD71" i="19"/>
  <c r="AE71" i="19"/>
  <c r="AF71" i="19"/>
  <c r="AG71" i="19"/>
  <c r="AH71" i="19"/>
  <c r="AI71" i="19"/>
  <c r="AJ71" i="19"/>
  <c r="AK71" i="19"/>
  <c r="AL71" i="19"/>
  <c r="AM71" i="19"/>
  <c r="AN71" i="19"/>
  <c r="AO71" i="19" s="1"/>
  <c r="S66" i="19"/>
  <c r="T66" i="19"/>
  <c r="U66" i="19"/>
  <c r="V66" i="19"/>
  <c r="W66" i="19"/>
  <c r="X66" i="19"/>
  <c r="Y66" i="19"/>
  <c r="Z66" i="19"/>
  <c r="AA66" i="19"/>
  <c r="AB66" i="19"/>
  <c r="AC66" i="19"/>
  <c r="AD66" i="19"/>
  <c r="AE66" i="19"/>
  <c r="AF66" i="19"/>
  <c r="AG66" i="19"/>
  <c r="AH66" i="19"/>
  <c r="AI66" i="19"/>
  <c r="AJ66" i="19"/>
  <c r="AK66" i="19"/>
  <c r="AL66" i="19"/>
  <c r="AM66" i="19"/>
  <c r="AN66" i="19"/>
  <c r="AO66" i="19" s="1"/>
  <c r="R66" i="19"/>
  <c r="H71" i="19"/>
  <c r="I71" i="19"/>
  <c r="J71" i="19"/>
  <c r="K71" i="19"/>
  <c r="L71" i="19"/>
  <c r="M71" i="19"/>
  <c r="N71" i="19"/>
  <c r="H66" i="19"/>
  <c r="I66" i="19"/>
  <c r="J66" i="19"/>
  <c r="K66" i="19"/>
  <c r="L66" i="19"/>
  <c r="M66" i="19"/>
  <c r="N66" i="19"/>
  <c r="H67" i="19"/>
  <c r="I67" i="19"/>
  <c r="J67" i="19"/>
  <c r="K67" i="19"/>
  <c r="L67" i="19"/>
  <c r="M67" i="19"/>
  <c r="N67" i="19"/>
  <c r="H68" i="19"/>
  <c r="I68" i="19"/>
  <c r="J68" i="19"/>
  <c r="K68" i="19"/>
  <c r="L68" i="19"/>
  <c r="M68" i="19"/>
  <c r="N68" i="19"/>
  <c r="H69" i="19"/>
  <c r="I69" i="19"/>
  <c r="J69" i="19"/>
  <c r="K69" i="19"/>
  <c r="L69" i="19"/>
  <c r="M69" i="19"/>
  <c r="N69" i="19"/>
  <c r="H70" i="19"/>
  <c r="I70" i="19"/>
  <c r="J70" i="19"/>
  <c r="K70" i="19"/>
  <c r="L70" i="19"/>
  <c r="M70" i="19"/>
  <c r="N70" i="19"/>
  <c r="G67" i="19"/>
  <c r="G68" i="19"/>
  <c r="G69" i="19"/>
  <c r="G70" i="19"/>
  <c r="G71" i="19"/>
  <c r="G66" i="19"/>
  <c r="S39" i="19"/>
  <c r="T39" i="19"/>
  <c r="U39" i="19"/>
  <c r="V39" i="19"/>
  <c r="W39" i="19"/>
  <c r="X39" i="19"/>
  <c r="Y39" i="19"/>
  <c r="Z39" i="19"/>
  <c r="AA39" i="19"/>
  <c r="AB39" i="19"/>
  <c r="AC39" i="19"/>
  <c r="AD39" i="19"/>
  <c r="AE39" i="19"/>
  <c r="AF39" i="19"/>
  <c r="AG39" i="19"/>
  <c r="AH39" i="19"/>
  <c r="AI39" i="19"/>
  <c r="AJ39" i="19"/>
  <c r="AK39" i="19"/>
  <c r="AL39" i="19"/>
  <c r="AM39" i="19"/>
  <c r="AN39" i="19"/>
  <c r="AO39" i="19" s="1"/>
  <c r="S40" i="19"/>
  <c r="T40" i="19"/>
  <c r="U40" i="19"/>
  <c r="V40" i="19"/>
  <c r="W40" i="19"/>
  <c r="X40" i="19"/>
  <c r="Y40" i="19"/>
  <c r="Z40" i="19"/>
  <c r="AA40" i="19"/>
  <c r="AB40" i="19"/>
  <c r="AC40" i="19"/>
  <c r="AD40" i="19"/>
  <c r="AE40" i="19"/>
  <c r="AF40" i="19"/>
  <c r="AG40" i="19"/>
  <c r="AH40" i="19"/>
  <c r="AI40" i="19"/>
  <c r="AJ40" i="19"/>
  <c r="AK40" i="19"/>
  <c r="AL40" i="19"/>
  <c r="AM40" i="19"/>
  <c r="AN40" i="19"/>
  <c r="AO40" i="19" s="1"/>
  <c r="S41" i="19"/>
  <c r="T41" i="19"/>
  <c r="U41" i="19"/>
  <c r="V41" i="19"/>
  <c r="W41" i="19"/>
  <c r="X41" i="19"/>
  <c r="Y41" i="19"/>
  <c r="Z41" i="19"/>
  <c r="AA41" i="19"/>
  <c r="AB41" i="19"/>
  <c r="AC41" i="19"/>
  <c r="AD41" i="19"/>
  <c r="AE41" i="19"/>
  <c r="AF41" i="19"/>
  <c r="AG41" i="19"/>
  <c r="AH41" i="19"/>
  <c r="AI41" i="19"/>
  <c r="AJ41" i="19"/>
  <c r="AK41" i="19"/>
  <c r="AL41" i="19"/>
  <c r="AM41" i="19"/>
  <c r="AN41" i="19"/>
  <c r="AO41" i="19" s="1"/>
  <c r="S42" i="19"/>
  <c r="T42" i="19"/>
  <c r="U42" i="19"/>
  <c r="V42" i="19"/>
  <c r="W42" i="19"/>
  <c r="X42" i="19"/>
  <c r="Y42" i="19"/>
  <c r="Z42" i="19"/>
  <c r="AA42" i="19"/>
  <c r="AB42" i="19"/>
  <c r="AC42" i="19"/>
  <c r="AD42" i="19"/>
  <c r="AE42" i="19"/>
  <c r="AF42" i="19"/>
  <c r="AG42" i="19"/>
  <c r="AH42" i="19"/>
  <c r="AI42" i="19"/>
  <c r="AJ42" i="19"/>
  <c r="AK42" i="19"/>
  <c r="AL42" i="19"/>
  <c r="AM42" i="19"/>
  <c r="AN42" i="19"/>
  <c r="AO42" i="19" s="1"/>
  <c r="S43" i="19"/>
  <c r="T43" i="19"/>
  <c r="U43" i="19"/>
  <c r="V43" i="19"/>
  <c r="W43" i="19"/>
  <c r="X43" i="19"/>
  <c r="Y43" i="19"/>
  <c r="Z43" i="19"/>
  <c r="AA43" i="19"/>
  <c r="AB43" i="19"/>
  <c r="AC43" i="19"/>
  <c r="AD43" i="19"/>
  <c r="AE43" i="19"/>
  <c r="AF43" i="19"/>
  <c r="AG43" i="19"/>
  <c r="AH43" i="19"/>
  <c r="AI43" i="19"/>
  <c r="AJ43" i="19"/>
  <c r="AK43" i="19"/>
  <c r="AL43" i="19"/>
  <c r="AM43" i="19"/>
  <c r="AN43" i="19"/>
  <c r="AO43" i="19" s="1"/>
  <c r="S44" i="19"/>
  <c r="T44" i="19"/>
  <c r="U44" i="19"/>
  <c r="V44" i="19"/>
  <c r="W44" i="19"/>
  <c r="X44" i="19"/>
  <c r="Y44" i="19"/>
  <c r="Z44" i="19"/>
  <c r="AA44" i="19"/>
  <c r="AB44" i="19"/>
  <c r="AC44" i="19"/>
  <c r="AD44" i="19"/>
  <c r="AE44" i="19"/>
  <c r="AF44" i="19"/>
  <c r="AG44" i="19"/>
  <c r="AH44" i="19"/>
  <c r="AI44" i="19"/>
  <c r="AJ44" i="19"/>
  <c r="AK44" i="19"/>
  <c r="AL44" i="19"/>
  <c r="AM44" i="19"/>
  <c r="AN44" i="19"/>
  <c r="AO44" i="19" s="1"/>
  <c r="R40" i="19"/>
  <c r="R41" i="19"/>
  <c r="R42" i="19"/>
  <c r="R43" i="19"/>
  <c r="R44" i="19"/>
  <c r="R39" i="19"/>
  <c r="E40" i="19"/>
  <c r="F40" i="19"/>
  <c r="G40" i="19"/>
  <c r="H40" i="19"/>
  <c r="I40" i="19"/>
  <c r="J40" i="19"/>
  <c r="K40" i="19"/>
  <c r="L40" i="19"/>
  <c r="M40" i="19"/>
  <c r="N40" i="19"/>
  <c r="E41" i="19"/>
  <c r="F41" i="19"/>
  <c r="G41" i="19"/>
  <c r="H41" i="19"/>
  <c r="I41" i="19"/>
  <c r="J41" i="19"/>
  <c r="K41" i="19"/>
  <c r="L41" i="19"/>
  <c r="M41" i="19"/>
  <c r="N41" i="19"/>
  <c r="E42" i="19"/>
  <c r="F42" i="19"/>
  <c r="G42" i="19"/>
  <c r="H42" i="19"/>
  <c r="I42" i="19"/>
  <c r="J42" i="19"/>
  <c r="K42" i="19"/>
  <c r="L42" i="19"/>
  <c r="M42" i="19"/>
  <c r="N42" i="19"/>
  <c r="E43" i="19"/>
  <c r="F43" i="19"/>
  <c r="G43" i="19"/>
  <c r="H43" i="19"/>
  <c r="I43" i="19"/>
  <c r="J43" i="19"/>
  <c r="K43" i="19"/>
  <c r="L43" i="19"/>
  <c r="M43" i="19"/>
  <c r="N43" i="19"/>
  <c r="E44" i="19"/>
  <c r="F44" i="19"/>
  <c r="G44" i="19"/>
  <c r="H44" i="19"/>
  <c r="I44" i="19"/>
  <c r="J44" i="19"/>
  <c r="K44" i="19"/>
  <c r="L44" i="19"/>
  <c r="M44" i="19"/>
  <c r="N44" i="19"/>
  <c r="F39" i="19"/>
  <c r="G39" i="19"/>
  <c r="H39" i="19"/>
  <c r="I39" i="19"/>
  <c r="J39" i="19"/>
  <c r="K39" i="19"/>
  <c r="L39" i="19"/>
  <c r="M39" i="19"/>
  <c r="N39" i="19"/>
  <c r="E39" i="19"/>
  <c r="G11" i="19" l="1"/>
  <c r="W6" i="19" l="1"/>
  <c r="W7" i="19"/>
  <c r="W8" i="19"/>
  <c r="W9" i="19"/>
  <c r="W88" i="19" s="1"/>
  <c r="W10" i="19"/>
  <c r="W5" i="19"/>
  <c r="AJ156" i="18"/>
  <c r="AJ192" i="18"/>
  <c r="AK192" i="18" s="1"/>
  <c r="AB16" i="10"/>
  <c r="AB27" i="10"/>
  <c r="AB26" i="10" l="1"/>
  <c r="AB38" i="10"/>
  <c r="AB46" i="10"/>
  <c r="AB37" i="10" l="1"/>
  <c r="AJ155" i="18" l="1"/>
  <c r="Z7" i="10"/>
  <c r="Z16" i="10"/>
  <c r="AE175" i="18"/>
  <c r="AE177" i="18"/>
  <c r="AE180" i="18"/>
  <c r="AE181" i="18"/>
  <c r="AE182" i="18"/>
  <c r="AE183" i="18"/>
  <c r="AE184" i="18"/>
  <c r="AE185" i="18"/>
  <c r="AE186" i="18"/>
  <c r="AE187" i="18"/>
  <c r="AE188" i="18"/>
  <c r="AE189" i="18"/>
  <c r="AE190" i="18"/>
  <c r="AE191" i="18"/>
  <c r="AE192" i="18"/>
  <c r="AE193" i="18"/>
  <c r="AE194" i="18"/>
  <c r="AE195" i="18"/>
  <c r="AE174" i="18"/>
  <c r="AG195" i="18"/>
  <c r="AG192" i="18"/>
  <c r="AG191" i="18"/>
  <c r="AG187" i="18"/>
  <c r="AG189" i="18"/>
  <c r="AG186" i="18"/>
  <c r="AG185" i="18"/>
  <c r="AG184" i="18"/>
  <c r="AG183" i="18"/>
  <c r="AG181" i="18"/>
  <c r="AG180" i="18"/>
  <c r="AG177" i="18"/>
  <c r="AG175" i="18"/>
  <c r="AG174" i="18"/>
  <c r="AA29" i="16" l="1"/>
  <c r="AA27" i="16"/>
  <c r="AA52" i="16" s="1"/>
  <c r="AA26" i="16"/>
  <c r="AA10" i="16"/>
  <c r="AA9" i="16"/>
  <c r="AA8" i="16"/>
  <c r="AA7" i="16"/>
  <c r="AM36" i="4"/>
  <c r="AM47" i="4"/>
  <c r="AM44" i="4"/>
  <c r="AM24" i="4"/>
  <c r="AM26" i="4" s="1"/>
  <c r="AN26" i="4" s="1"/>
  <c r="AB104" i="18"/>
  <c r="AC104" i="18" s="1"/>
  <c r="AC19" i="18"/>
  <c r="AJ171" i="18"/>
  <c r="AJ158" i="18"/>
  <c r="AJ133" i="18"/>
  <c r="AK133" i="18" s="1"/>
  <c r="V73" i="18"/>
  <c r="AB61" i="18"/>
  <c r="AC61" i="18" s="1"/>
  <c r="AA15" i="16" l="1"/>
  <c r="AA11" i="16"/>
  <c r="AA42" i="16" s="1"/>
  <c r="AA28" i="16"/>
  <c r="AA30" i="16" s="1"/>
  <c r="AO17" i="3" l="1"/>
  <c r="AP17" i="3" s="1"/>
  <c r="AO13" i="3"/>
  <c r="AP13" i="3" s="1"/>
  <c r="AN38" i="4" s="1"/>
  <c r="AO8" i="3"/>
  <c r="AP8" i="3" s="1"/>
  <c r="AL59" i="11" l="1"/>
  <c r="AL74" i="11"/>
  <c r="AL36" i="11"/>
  <c r="AJ212" i="18"/>
  <c r="AJ207" i="18"/>
  <c r="AJ187" i="18"/>
  <c r="AK187" i="18" s="1"/>
  <c r="AJ185" i="18"/>
  <c r="AK185" i="18" s="1"/>
  <c r="AJ183" i="18"/>
  <c r="AK183" i="18" s="1"/>
  <c r="AJ180" i="18"/>
  <c r="AK180" i="18" s="1"/>
  <c r="AJ178" i="18"/>
  <c r="AK178" i="18" s="1"/>
  <c r="AJ177" i="18"/>
  <c r="AK177" i="18" s="1"/>
  <c r="AJ167" i="18"/>
  <c r="AJ166" i="18"/>
  <c r="AJ163" i="18"/>
  <c r="AJ161" i="18"/>
  <c r="AJ160" i="18"/>
  <c r="AJ159" i="18"/>
  <c r="AJ157" i="18"/>
  <c r="AJ154" i="18"/>
  <c r="AJ152" i="18"/>
  <c r="AK152" i="18" s="1"/>
  <c r="AJ144" i="18"/>
  <c r="AK144" i="18" s="1"/>
  <c r="AJ141" i="18"/>
  <c r="AK141" i="18" s="1"/>
  <c r="AJ135" i="18"/>
  <c r="AK135" i="18" s="1"/>
  <c r="AJ132" i="18"/>
  <c r="AK132" i="18" s="1"/>
  <c r="AJ86" i="18"/>
  <c r="AJ82" i="18"/>
  <c r="AJ59" i="18"/>
  <c r="AK59" i="18" s="1"/>
  <c r="AJ57" i="18"/>
  <c r="AK57" i="18" s="1"/>
  <c r="AJ44" i="18"/>
  <c r="AJ169" i="18" s="1"/>
  <c r="AJ40" i="18"/>
  <c r="AJ165" i="18" s="1"/>
  <c r="AJ37" i="18"/>
  <c r="AJ24" i="18"/>
  <c r="AJ18" i="18"/>
  <c r="AJ17" i="18"/>
  <c r="AJ15" i="18"/>
  <c r="AJ12" i="18"/>
  <c r="AJ11" i="18"/>
  <c r="AJ142" i="18" l="1"/>
  <c r="AK142" i="18" s="1"/>
  <c r="AK17" i="18"/>
  <c r="AJ137" i="18"/>
  <c r="AK137" i="18" s="1"/>
  <c r="AK12" i="18"/>
  <c r="AJ149" i="18"/>
  <c r="AK149" i="18" s="1"/>
  <c r="AK24" i="18"/>
  <c r="AJ140" i="18"/>
  <c r="AK140" i="18" s="1"/>
  <c r="AK15" i="18"/>
  <c r="AJ136" i="18"/>
  <c r="AK136" i="18" s="1"/>
  <c r="AK11" i="18"/>
  <c r="AJ143" i="18"/>
  <c r="AK143" i="18" s="1"/>
  <c r="AK18" i="18"/>
  <c r="AJ45" i="18"/>
  <c r="AA51" i="16"/>
  <c r="AA50" i="16" s="1"/>
  <c r="AM42" i="4"/>
  <c r="AL76" i="11"/>
  <c r="AK13" i="18" l="1"/>
  <c r="AK23" i="18" s="1"/>
  <c r="AK25" i="18" s="1"/>
  <c r="AC64" i="3"/>
  <c r="AC65" i="3" s="1"/>
  <c r="AD19" i="3"/>
  <c r="AC46" i="3" l="1"/>
  <c r="AD64" i="3"/>
  <c r="AD65" i="3" s="1"/>
  <c r="AC77" i="3"/>
  <c r="AD77" i="3"/>
  <c r="AD78" i="3" s="1"/>
  <c r="AC78" i="3" l="1"/>
  <c r="AA17" i="16" l="1"/>
  <c r="AA18" i="16" s="1"/>
  <c r="AA46" i="16" s="1"/>
  <c r="Y17" i="16"/>
  <c r="Z17" i="16"/>
  <c r="W17" i="16"/>
  <c r="X17" i="16"/>
  <c r="V17" i="16"/>
  <c r="S17" i="16"/>
  <c r="T17" i="16"/>
  <c r="U17" i="16"/>
  <c r="R17" i="16"/>
  <c r="L17" i="16"/>
  <c r="M17" i="16"/>
  <c r="N17" i="16"/>
  <c r="O17" i="16"/>
  <c r="K17" i="16"/>
  <c r="I17" i="16"/>
  <c r="J17" i="16"/>
  <c r="E17" i="16"/>
  <c r="F17" i="16"/>
  <c r="G17" i="16"/>
  <c r="H17" i="16"/>
  <c r="D17" i="16"/>
  <c r="AB16" i="3"/>
  <c r="AB15" i="3"/>
  <c r="AC195" i="18"/>
  <c r="AA195" i="18"/>
  <c r="Y195" i="18"/>
  <c r="S195" i="18"/>
  <c r="S193" i="18"/>
  <c r="T193" i="18"/>
  <c r="U193" i="18"/>
  <c r="V193" i="18"/>
  <c r="W193" i="18"/>
  <c r="X193" i="18"/>
  <c r="Z193" i="18"/>
  <c r="AB193" i="18"/>
  <c r="AF193" i="18"/>
  <c r="AG193" i="18" s="1"/>
  <c r="AH193" i="18"/>
  <c r="AI193" i="18"/>
  <c r="R193" i="18"/>
  <c r="AC192" i="18"/>
  <c r="AC193" i="18" s="1"/>
  <c r="AA192" i="18"/>
  <c r="AA193" i="18" s="1"/>
  <c r="Y192" i="18"/>
  <c r="Y193" i="18" s="1"/>
  <c r="AI156" i="18" l="1"/>
  <c r="AI157" i="18"/>
  <c r="AI158" i="18"/>
  <c r="AI159" i="18"/>
  <c r="AI160" i="18"/>
  <c r="AI161" i="18"/>
  <c r="AI162" i="18"/>
  <c r="AI163" i="18"/>
  <c r="AI165" i="18"/>
  <c r="AI166" i="18"/>
  <c r="AI167" i="18"/>
  <c r="AI169" i="18"/>
  <c r="AI170" i="18"/>
  <c r="AI171" i="18"/>
  <c r="AI154" i="18"/>
  <c r="AG156" i="18"/>
  <c r="AG157" i="18"/>
  <c r="AG158" i="18"/>
  <c r="AG159" i="18"/>
  <c r="AG160" i="18"/>
  <c r="AG161" i="18"/>
  <c r="AG162" i="18"/>
  <c r="AG163" i="18"/>
  <c r="AG165" i="18"/>
  <c r="AG166" i="18"/>
  <c r="AG167" i="18"/>
  <c r="AG169" i="18"/>
  <c r="AG170" i="18"/>
  <c r="AG171" i="18"/>
  <c r="AG154" i="18"/>
  <c r="AE156" i="18"/>
  <c r="AE157" i="18"/>
  <c r="AE158" i="18"/>
  <c r="AE159" i="18"/>
  <c r="AE160" i="18"/>
  <c r="AE163" i="18"/>
  <c r="AE165" i="18"/>
  <c r="AE166" i="18"/>
  <c r="AE167" i="18"/>
  <c r="AE169" i="18"/>
  <c r="AE154" i="18"/>
  <c r="AC156" i="18"/>
  <c r="AC157" i="18"/>
  <c r="AC158" i="18"/>
  <c r="AC159" i="18"/>
  <c r="AC160" i="18"/>
  <c r="AC163" i="18"/>
  <c r="AC165" i="18"/>
  <c r="AC166" i="18"/>
  <c r="AC167" i="18"/>
  <c r="AC169" i="18"/>
  <c r="AC154" i="18"/>
  <c r="AA156" i="18"/>
  <c r="AA157" i="18"/>
  <c r="AA158" i="18"/>
  <c r="AA159" i="18"/>
  <c r="AA160" i="18"/>
  <c r="AA163" i="18"/>
  <c r="AA165" i="18"/>
  <c r="AA166" i="18"/>
  <c r="AA167" i="18"/>
  <c r="AA169" i="18"/>
  <c r="AA154" i="18"/>
  <c r="Y156" i="18"/>
  <c r="Y157" i="18"/>
  <c r="Y158" i="18"/>
  <c r="Y159" i="18"/>
  <c r="Y160" i="18"/>
  <c r="Y163" i="18"/>
  <c r="Y165" i="18"/>
  <c r="Y166" i="18"/>
  <c r="Y167" i="18"/>
  <c r="Y169" i="18"/>
  <c r="Y154" i="18"/>
  <c r="W156" i="18"/>
  <c r="W157" i="18"/>
  <c r="W158" i="18"/>
  <c r="W159" i="18"/>
  <c r="W160" i="18"/>
  <c r="W163" i="18"/>
  <c r="W165" i="18"/>
  <c r="W166" i="18"/>
  <c r="W167" i="18"/>
  <c r="W169" i="18"/>
  <c r="W154" i="18"/>
  <c r="U156" i="18"/>
  <c r="U157" i="18"/>
  <c r="U158" i="18"/>
  <c r="U159" i="18"/>
  <c r="U160" i="18"/>
  <c r="U163" i="18"/>
  <c r="U165" i="18"/>
  <c r="U166" i="18"/>
  <c r="U167" i="18"/>
  <c r="U169" i="18"/>
  <c r="U154" i="18"/>
  <c r="S156" i="18"/>
  <c r="S157" i="18"/>
  <c r="S158" i="18"/>
  <c r="S159" i="18"/>
  <c r="S160" i="18"/>
  <c r="S163" i="18"/>
  <c r="S165" i="18"/>
  <c r="S166" i="18"/>
  <c r="S167" i="18"/>
  <c r="S169" i="18"/>
  <c r="S154" i="18"/>
  <c r="L144" i="18"/>
  <c r="L143" i="18"/>
  <c r="AI199" i="18"/>
  <c r="AI200" i="18"/>
  <c r="AI201" i="18"/>
  <c r="AI202" i="18"/>
  <c r="AI203" i="18"/>
  <c r="AI204" i="18"/>
  <c r="AI206" i="18"/>
  <c r="AI207" i="18"/>
  <c r="AI209" i="18"/>
  <c r="AI210" i="18"/>
  <c r="AI212" i="18"/>
  <c r="AI197" i="18"/>
  <c r="AG199" i="18"/>
  <c r="AG201" i="18"/>
  <c r="AG202" i="18"/>
  <c r="AG203" i="18"/>
  <c r="AG204" i="18"/>
  <c r="AG206" i="18"/>
  <c r="AG207" i="18"/>
  <c r="AG209" i="18"/>
  <c r="AG210" i="18"/>
  <c r="AG212" i="18"/>
  <c r="AG197" i="18"/>
  <c r="AE199" i="18"/>
  <c r="AE201" i="18"/>
  <c r="AE202" i="18"/>
  <c r="AE203" i="18"/>
  <c r="AE204" i="18"/>
  <c r="AE206" i="18"/>
  <c r="AE207" i="18"/>
  <c r="AE209" i="18"/>
  <c r="AE210" i="18"/>
  <c r="AE212" i="18"/>
  <c r="AE197" i="18"/>
  <c r="AC199" i="18"/>
  <c r="AC201" i="18"/>
  <c r="AC202" i="18"/>
  <c r="AC203" i="18"/>
  <c r="AC204" i="18"/>
  <c r="AC206" i="18"/>
  <c r="AC207" i="18"/>
  <c r="AC209" i="18"/>
  <c r="AC210" i="18"/>
  <c r="AC212" i="18"/>
  <c r="AC197" i="18"/>
  <c r="AA199" i="18"/>
  <c r="AA200" i="18"/>
  <c r="AA201" i="18"/>
  <c r="AA203" i="18"/>
  <c r="AA204" i="18"/>
  <c r="AA206" i="18"/>
  <c r="AA207" i="18"/>
  <c r="AA209" i="18"/>
  <c r="AA210" i="18"/>
  <c r="AA212" i="18"/>
  <c r="AA197" i="18"/>
  <c r="Y199" i="18"/>
  <c r="Y200" i="18"/>
  <c r="Y201" i="18"/>
  <c r="Y203" i="18"/>
  <c r="Y204" i="18"/>
  <c r="Y206" i="18"/>
  <c r="Y207" i="18"/>
  <c r="Y209" i="18"/>
  <c r="Y210" i="18"/>
  <c r="Y212" i="18"/>
  <c r="Y197" i="18"/>
  <c r="W201" i="18"/>
  <c r="W203" i="18"/>
  <c r="W204" i="18"/>
  <c r="W209" i="18"/>
  <c r="W210" i="18"/>
  <c r="W212" i="18"/>
  <c r="U201" i="18"/>
  <c r="U203" i="18"/>
  <c r="U204" i="18"/>
  <c r="U206" i="18"/>
  <c r="U209" i="18"/>
  <c r="U210" i="18"/>
  <c r="U212" i="18"/>
  <c r="S201" i="18"/>
  <c r="S203" i="18"/>
  <c r="S204" i="18"/>
  <c r="S206" i="18"/>
  <c r="S209" i="18"/>
  <c r="S210" i="18"/>
  <c r="S212" i="18"/>
  <c r="W197" i="18"/>
  <c r="U197" i="18"/>
  <c r="S197" i="18"/>
  <c r="AI115" i="18"/>
  <c r="AI116" i="18"/>
  <c r="AI117" i="18"/>
  <c r="AI118" i="18"/>
  <c r="AI119" i="18"/>
  <c r="AI120" i="18"/>
  <c r="AI122" i="18"/>
  <c r="AI123" i="18"/>
  <c r="AI124" i="18"/>
  <c r="AI125" i="18"/>
  <c r="AI126" i="18"/>
  <c r="AI114" i="18"/>
  <c r="AG115" i="18"/>
  <c r="AG116" i="18"/>
  <c r="AG117" i="18"/>
  <c r="AG118" i="18"/>
  <c r="AG119" i="18"/>
  <c r="AG120" i="18"/>
  <c r="AG122" i="18"/>
  <c r="AG123" i="18"/>
  <c r="AG124" i="18"/>
  <c r="AG125" i="18"/>
  <c r="AG126" i="18"/>
  <c r="AG114" i="18"/>
  <c r="AE115" i="18"/>
  <c r="AE116" i="18"/>
  <c r="AE117" i="18"/>
  <c r="AE118" i="18"/>
  <c r="AE119" i="18"/>
  <c r="AE120" i="18"/>
  <c r="AE122" i="18"/>
  <c r="AE123" i="18"/>
  <c r="AE124" i="18"/>
  <c r="AE125" i="18"/>
  <c r="AE126" i="18"/>
  <c r="AE114" i="18"/>
  <c r="AC115" i="18"/>
  <c r="AC116" i="18"/>
  <c r="AC117" i="18"/>
  <c r="AC118" i="18"/>
  <c r="AC119" i="18"/>
  <c r="AC120" i="18"/>
  <c r="AC122" i="18"/>
  <c r="AC123" i="18"/>
  <c r="AC124" i="18"/>
  <c r="AC125" i="18"/>
  <c r="AC126" i="18"/>
  <c r="AC114" i="18"/>
  <c r="AA115" i="18"/>
  <c r="AA116" i="18"/>
  <c r="AA117" i="18"/>
  <c r="AA119" i="18"/>
  <c r="AA120" i="18"/>
  <c r="AA122" i="18"/>
  <c r="AA123" i="18"/>
  <c r="AA124" i="18"/>
  <c r="AA125" i="18"/>
  <c r="AA126" i="18"/>
  <c r="AA114" i="18"/>
  <c r="Y115" i="18"/>
  <c r="Y116" i="18"/>
  <c r="Y117" i="18"/>
  <c r="Y118" i="18"/>
  <c r="Y119" i="18"/>
  <c r="Y120" i="18"/>
  <c r="Y122" i="18"/>
  <c r="Y123" i="18"/>
  <c r="Y124" i="18"/>
  <c r="Y125" i="18"/>
  <c r="Y126" i="18"/>
  <c r="Y114" i="18"/>
  <c r="W115" i="18"/>
  <c r="W116" i="18"/>
  <c r="W117" i="18"/>
  <c r="W118" i="18"/>
  <c r="W119" i="18"/>
  <c r="W120" i="18"/>
  <c r="W122" i="18"/>
  <c r="W123" i="18"/>
  <c r="W124" i="18"/>
  <c r="W125" i="18"/>
  <c r="W126" i="18"/>
  <c r="W114" i="18"/>
  <c r="U115" i="18"/>
  <c r="U116" i="18"/>
  <c r="U117" i="18"/>
  <c r="U118" i="18"/>
  <c r="U119" i="18"/>
  <c r="U120" i="18"/>
  <c r="U122" i="18"/>
  <c r="U123" i="18"/>
  <c r="U124" i="18"/>
  <c r="U125" i="18"/>
  <c r="U126" i="18"/>
  <c r="U114" i="18"/>
  <c r="S115" i="18"/>
  <c r="S116" i="18"/>
  <c r="S117" i="18"/>
  <c r="S118" i="18"/>
  <c r="S119" i="18"/>
  <c r="S120" i="18"/>
  <c r="S122" i="18"/>
  <c r="S123" i="18"/>
  <c r="S124" i="18"/>
  <c r="S125" i="18"/>
  <c r="S126" i="18"/>
  <c r="S114" i="18"/>
  <c r="T73" i="18"/>
  <c r="U73" i="18"/>
  <c r="W73" i="18"/>
  <c r="X73" i="18"/>
  <c r="Y73" i="18"/>
  <c r="AA73" i="18"/>
  <c r="AB73" i="18"/>
  <c r="AC73" i="18"/>
  <c r="AE73" i="18"/>
  <c r="AI73" i="18"/>
  <c r="AI74" i="18"/>
  <c r="AI75" i="18"/>
  <c r="AI76" i="18"/>
  <c r="AI77" i="18"/>
  <c r="AI78" i="18"/>
  <c r="AI80" i="18"/>
  <c r="AI82" i="18"/>
  <c r="AI83" i="18"/>
  <c r="AI84" i="18"/>
  <c r="AI86" i="18"/>
  <c r="AI71" i="18"/>
  <c r="AG73" i="18"/>
  <c r="AG74" i="18"/>
  <c r="AG75" i="18"/>
  <c r="AG76" i="18"/>
  <c r="AG77" i="18"/>
  <c r="AG78" i="18"/>
  <c r="AG80" i="18"/>
  <c r="AG82" i="18"/>
  <c r="AG83" i="18"/>
  <c r="AG84" i="18"/>
  <c r="AG86" i="18"/>
  <c r="AG71" i="18"/>
  <c r="AE74" i="18"/>
  <c r="AE75" i="18"/>
  <c r="AE76" i="18"/>
  <c r="AE77" i="18"/>
  <c r="AE78" i="18"/>
  <c r="AE80" i="18"/>
  <c r="AE82" i="18"/>
  <c r="AE83" i="18"/>
  <c r="AE84" i="18"/>
  <c r="AE86" i="18"/>
  <c r="AE71" i="18"/>
  <c r="AC74" i="18"/>
  <c r="AC75" i="18"/>
  <c r="AC76" i="18"/>
  <c r="AC77" i="18"/>
  <c r="AC78" i="18"/>
  <c r="AC80" i="18"/>
  <c r="AC82" i="18"/>
  <c r="AC83" i="18"/>
  <c r="AC84" i="18"/>
  <c r="AC86" i="18"/>
  <c r="AC71" i="18"/>
  <c r="AA74" i="18"/>
  <c r="AA75" i="18"/>
  <c r="AA76" i="18"/>
  <c r="AA77" i="18"/>
  <c r="AA78" i="18"/>
  <c r="AA80" i="18"/>
  <c r="AA82" i="18"/>
  <c r="AA83" i="18"/>
  <c r="AA84" i="18"/>
  <c r="AA86" i="18"/>
  <c r="AA71" i="18"/>
  <c r="Y74" i="18"/>
  <c r="Y75" i="18"/>
  <c r="Y76" i="18"/>
  <c r="Y77" i="18"/>
  <c r="Y78" i="18"/>
  <c r="Y80" i="18"/>
  <c r="Y82" i="18"/>
  <c r="Y83" i="18"/>
  <c r="Y84" i="18"/>
  <c r="Y86" i="18"/>
  <c r="Y71" i="18"/>
  <c r="W75" i="18"/>
  <c r="W76" i="18"/>
  <c r="W77" i="18"/>
  <c r="W78" i="18"/>
  <c r="W80" i="18"/>
  <c r="W82" i="18"/>
  <c r="W83" i="18"/>
  <c r="W84" i="18"/>
  <c r="W86" i="18"/>
  <c r="W71" i="18"/>
  <c r="U75" i="18"/>
  <c r="U76" i="18"/>
  <c r="U77" i="18"/>
  <c r="U78" i="18"/>
  <c r="U80" i="18"/>
  <c r="U82" i="18"/>
  <c r="U83" i="18"/>
  <c r="U84" i="18"/>
  <c r="U86" i="18"/>
  <c r="U71" i="18"/>
  <c r="S73" i="18"/>
  <c r="AD73" i="18" s="1"/>
  <c r="S75" i="18"/>
  <c r="S76" i="18"/>
  <c r="S77" i="18"/>
  <c r="S78" i="18"/>
  <c r="S80" i="18"/>
  <c r="S82" i="18"/>
  <c r="S83" i="18"/>
  <c r="S84" i="18"/>
  <c r="S86" i="18"/>
  <c r="S71" i="18"/>
  <c r="AC32" i="18"/>
  <c r="AC33" i="18"/>
  <c r="AC34" i="18"/>
  <c r="AC35" i="18"/>
  <c r="AC36" i="18"/>
  <c r="AC38" i="18"/>
  <c r="AC40" i="18"/>
  <c r="AC41" i="18"/>
  <c r="AC44" i="18"/>
  <c r="AC46" i="18"/>
  <c r="AC29" i="18"/>
  <c r="AI31" i="18"/>
  <c r="AI32" i="18"/>
  <c r="AI33" i="18"/>
  <c r="AI34" i="18"/>
  <c r="AI35" i="18"/>
  <c r="AI36" i="18"/>
  <c r="AI38" i="18"/>
  <c r="AI40" i="18"/>
  <c r="AI41" i="18"/>
  <c r="AI44" i="18"/>
  <c r="AI46" i="18"/>
  <c r="AI29" i="18"/>
  <c r="AG31" i="18"/>
  <c r="AG32" i="18"/>
  <c r="AG33" i="18"/>
  <c r="AG34" i="18"/>
  <c r="AG35" i="18"/>
  <c r="AG36" i="18"/>
  <c r="AG38" i="18"/>
  <c r="AG40" i="18"/>
  <c r="AG41" i="18"/>
  <c r="AG44" i="18"/>
  <c r="AG46" i="18"/>
  <c r="AG29" i="18"/>
  <c r="AE32" i="18"/>
  <c r="AE33" i="18"/>
  <c r="AE34" i="18"/>
  <c r="AE35" i="18"/>
  <c r="AE36" i="18"/>
  <c r="AE38" i="18"/>
  <c r="AE40" i="18"/>
  <c r="AE41" i="18"/>
  <c r="AE44" i="18"/>
  <c r="AE46" i="18"/>
  <c r="AE29" i="18"/>
  <c r="AA32" i="18"/>
  <c r="AA33" i="18"/>
  <c r="AA34" i="18"/>
  <c r="AA35" i="18"/>
  <c r="AA36" i="18"/>
  <c r="AA38" i="18"/>
  <c r="AA40" i="18"/>
  <c r="AA41" i="18"/>
  <c r="AA44" i="18"/>
  <c r="AA46" i="18"/>
  <c r="AA29" i="18"/>
  <c r="Y32" i="18"/>
  <c r="Y33" i="18"/>
  <c r="Y34" i="18"/>
  <c r="Y35" i="18"/>
  <c r="Y36" i="18"/>
  <c r="Y38" i="18"/>
  <c r="Y40" i="18"/>
  <c r="Y41" i="18"/>
  <c r="Y44" i="18"/>
  <c r="Y29" i="18"/>
  <c r="W33" i="18"/>
  <c r="W34" i="18"/>
  <c r="W35" i="18"/>
  <c r="W36" i="18"/>
  <c r="W38" i="18"/>
  <c r="W40" i="18"/>
  <c r="W41" i="18"/>
  <c r="W44" i="18"/>
  <c r="W46" i="18"/>
  <c r="W29" i="18"/>
  <c r="U33" i="18"/>
  <c r="U34" i="18"/>
  <c r="U35" i="18"/>
  <c r="U36" i="18"/>
  <c r="U38" i="18"/>
  <c r="U40" i="18"/>
  <c r="U41" i="18"/>
  <c r="U44" i="18"/>
  <c r="U46" i="18"/>
  <c r="U29" i="18"/>
  <c r="S32" i="18"/>
  <c r="S33" i="18"/>
  <c r="S34" i="18"/>
  <c r="S35" i="18"/>
  <c r="S36" i="18"/>
  <c r="S38" i="18"/>
  <c r="S40" i="18"/>
  <c r="S41" i="18"/>
  <c r="S44" i="18"/>
  <c r="S46" i="18"/>
  <c r="S29" i="18"/>
  <c r="O87" i="18"/>
  <c r="AI87" i="18" s="1"/>
  <c r="AO19" i="3"/>
  <c r="AP19" i="3" s="1"/>
  <c r="AN33" i="4" s="1"/>
  <c r="AO9" i="3"/>
  <c r="AO14" i="3" l="1"/>
  <c r="AP14" i="3" s="1"/>
  <c r="AP9" i="3"/>
  <c r="AO20" i="3"/>
  <c r="AP20" i="3" s="1"/>
  <c r="AB7" i="10" l="1"/>
  <c r="AB24" i="10" s="1"/>
  <c r="AO46" i="3"/>
  <c r="AO47" i="3" l="1"/>
  <c r="AB54" i="10"/>
  <c r="AM9" i="4" l="1"/>
  <c r="AN9" i="4"/>
  <c r="AO22" i="3"/>
  <c r="AP22" i="3" s="1"/>
  <c r="AN30" i="4" s="1"/>
  <c r="AN40" i="4" s="1"/>
  <c r="AN6" i="4" l="1"/>
  <c r="AB20" i="16" s="1"/>
  <c r="AN48" i="4"/>
  <c r="AN49" i="4" s="1"/>
  <c r="AD46" i="3"/>
  <c r="M64" i="3"/>
  <c r="M65" i="3" s="1"/>
  <c r="L22" i="3"/>
  <c r="L9" i="3"/>
  <c r="AB45" i="16" l="1"/>
  <c r="AB22" i="16"/>
  <c r="AB21" i="16"/>
  <c r="L77" i="3"/>
  <c r="L78" i="3" s="1"/>
  <c r="L14" i="3" l="1"/>
  <c r="L64" i="3" l="1"/>
  <c r="L65" i="3" l="1"/>
  <c r="M77" i="3"/>
  <c r="N77" i="3"/>
  <c r="O77" i="3"/>
  <c r="P77" i="3"/>
  <c r="Q77" i="3"/>
  <c r="O64" i="3"/>
  <c r="O65" i="3" s="1"/>
  <c r="S47" i="3"/>
  <c r="F65" i="3"/>
  <c r="T9" i="18" l="1"/>
  <c r="T19" i="4" s="1"/>
  <c r="V9" i="18"/>
  <c r="V19" i="4" s="1"/>
  <c r="X9" i="18"/>
  <c r="Z9" i="18"/>
  <c r="AC19" i="4" s="1"/>
  <c r="AB9" i="18"/>
  <c r="AE19" i="4" s="1"/>
  <c r="AD9" i="18"/>
  <c r="AG19" i="4" s="1"/>
  <c r="AF9" i="18"/>
  <c r="AI19" i="4" s="1"/>
  <c r="AG9" i="18"/>
  <c r="AJ19" i="4" s="1"/>
  <c r="AH9" i="18"/>
  <c r="AK19" i="4" s="1"/>
  <c r="AI9" i="18"/>
  <c r="AL19" i="4" s="1"/>
  <c r="R9" i="18"/>
  <c r="R19" i="4" s="1"/>
  <c r="J37" i="10" l="1"/>
  <c r="AA37" i="4" l="1"/>
  <c r="AB37" i="4"/>
  <c r="AA39" i="4"/>
  <c r="AB39" i="4"/>
  <c r="J34" i="4"/>
  <c r="J35" i="4"/>
  <c r="J37" i="4"/>
  <c r="J39" i="4"/>
  <c r="AK20" i="5"/>
  <c r="AL20" i="5"/>
  <c r="AM20" i="5"/>
  <c r="AO20" i="5"/>
  <c r="T20" i="5"/>
  <c r="U20" i="5"/>
  <c r="V20" i="5"/>
  <c r="W20" i="5"/>
  <c r="Y20" i="5"/>
  <c r="AA20" i="5"/>
  <c r="AC20" i="5"/>
  <c r="X27" i="4" s="1"/>
  <c r="AE20" i="5"/>
  <c r="AG20" i="5"/>
  <c r="AI20" i="5"/>
  <c r="F20" i="5"/>
  <c r="AM22" i="4" l="1"/>
  <c r="AM27" i="4"/>
  <c r="J11" i="4"/>
  <c r="L46" i="3" l="1"/>
  <c r="L47" i="3" l="1"/>
  <c r="J9" i="4" s="1"/>
  <c r="J10" i="4"/>
  <c r="S20" i="5" l="1"/>
  <c r="G20" i="5"/>
  <c r="H20" i="5"/>
  <c r="I20" i="5"/>
  <c r="J20" i="5"/>
  <c r="K20" i="5"/>
  <c r="L20" i="5"/>
  <c r="M20" i="5"/>
  <c r="N20" i="5"/>
  <c r="O20" i="5"/>
  <c r="P20" i="5"/>
  <c r="AC175" i="18" l="1"/>
  <c r="AC177" i="18"/>
  <c r="AC180" i="18"/>
  <c r="AC174" i="18"/>
  <c r="AA175" i="18"/>
  <c r="AA177" i="18"/>
  <c r="AA180" i="18"/>
  <c r="AA174" i="18"/>
  <c r="Y175" i="18"/>
  <c r="Y177" i="18"/>
  <c r="Y180" i="18"/>
  <c r="Y174" i="18"/>
  <c r="AL88" i="19" l="1"/>
  <c r="AL87" i="19"/>
  <c r="E11" i="19" l="1"/>
  <c r="L11" i="19"/>
  <c r="AN11" i="19"/>
  <c r="AN81" i="19"/>
  <c r="AO81" i="19" s="1"/>
  <c r="AL81" i="19"/>
  <c r="AH81" i="19"/>
  <c r="AD81" i="19"/>
  <c r="Z81" i="19"/>
  <c r="V81" i="19"/>
  <c r="AJ63" i="19"/>
  <c r="AH63" i="19"/>
  <c r="X63" i="19"/>
  <c r="AL54" i="19"/>
  <c r="AD54" i="19"/>
  <c r="Z54" i="19"/>
  <c r="AN89" i="19"/>
  <c r="AO89" i="19" s="1"/>
  <c r="AN88" i="19"/>
  <c r="AO88" i="19" s="1"/>
  <c r="AN87" i="19"/>
  <c r="AO87" i="19" s="1"/>
  <c r="AN36" i="19"/>
  <c r="AO36" i="19" s="1"/>
  <c r="AN85" i="19"/>
  <c r="AO85" i="19" s="1"/>
  <c r="AN84" i="19"/>
  <c r="AO84" i="19" s="1"/>
  <c r="AM36" i="19"/>
  <c r="AL36" i="19"/>
  <c r="Z36" i="19"/>
  <c r="AH27" i="19"/>
  <c r="AD27" i="19"/>
  <c r="X27" i="19"/>
  <c r="T63" i="19"/>
  <c r="N81" i="19"/>
  <c r="M81" i="19"/>
  <c r="J81" i="19"/>
  <c r="I81" i="19"/>
  <c r="E81" i="19"/>
  <c r="L63" i="19"/>
  <c r="K63" i="19"/>
  <c r="AM54" i="19"/>
  <c r="E27" i="19"/>
  <c r="G27" i="19"/>
  <c r="K27" i="19"/>
  <c r="L27" i="19"/>
  <c r="AL85" i="19"/>
  <c r="AD89" i="19"/>
  <c r="AJ89" i="19"/>
  <c r="T85" i="19"/>
  <c r="X85" i="19"/>
  <c r="AB85" i="19"/>
  <c r="AD85" i="19"/>
  <c r="AF85" i="19"/>
  <c r="AJ85" i="19"/>
  <c r="T87" i="19"/>
  <c r="X87" i="19"/>
  <c r="Z87" i="19"/>
  <c r="AB88" i="19"/>
  <c r="AL84" i="19"/>
  <c r="AJ84" i="19"/>
  <c r="AH84" i="19"/>
  <c r="AF84" i="19"/>
  <c r="AD84" i="19"/>
  <c r="AB84" i="19"/>
  <c r="Z84" i="19"/>
  <c r="X84" i="19"/>
  <c r="V84" i="19"/>
  <c r="T84" i="19"/>
  <c r="R89" i="19"/>
  <c r="R88" i="19"/>
  <c r="R87" i="19"/>
  <c r="R85" i="19"/>
  <c r="R84" i="19"/>
  <c r="AK83" i="19"/>
  <c r="AJ81" i="19"/>
  <c r="AB81" i="19"/>
  <c r="T81" i="19"/>
  <c r="R81" i="19"/>
  <c r="L81" i="19"/>
  <c r="H81" i="19"/>
  <c r="AN63" i="19"/>
  <c r="AO63" i="19" s="1"/>
  <c r="AF63" i="19"/>
  <c r="V63" i="19"/>
  <c r="M63" i="19"/>
  <c r="I63" i="19"/>
  <c r="E63" i="19"/>
  <c r="AK63" i="19"/>
  <c r="AI63" i="19"/>
  <c r="AN54" i="19"/>
  <c r="AO54" i="19" s="1"/>
  <c r="AF54" i="19"/>
  <c r="V54" i="19"/>
  <c r="T54" i="19"/>
  <c r="N54" i="19"/>
  <c r="M54" i="19"/>
  <c r="L54" i="19"/>
  <c r="K54" i="19"/>
  <c r="J54" i="19"/>
  <c r="I54" i="19"/>
  <c r="H54" i="19"/>
  <c r="G54" i="19"/>
  <c r="F54" i="19"/>
  <c r="E54" i="19"/>
  <c r="AH36" i="19"/>
  <c r="AH45" i="19" s="1"/>
  <c r="AF36" i="19"/>
  <c r="AD36" i="19"/>
  <c r="AD45" i="19" s="1"/>
  <c r="T36" i="19"/>
  <c r="R36" i="19"/>
  <c r="N36" i="19"/>
  <c r="M36" i="19"/>
  <c r="L36" i="19"/>
  <c r="K36" i="19"/>
  <c r="J36" i="19"/>
  <c r="I36" i="19"/>
  <c r="H36" i="19"/>
  <c r="G36" i="19"/>
  <c r="G45" i="19" s="1"/>
  <c r="F36" i="19"/>
  <c r="E36" i="19"/>
  <c r="AI36" i="19"/>
  <c r="AO27" i="19"/>
  <c r="AM27" i="19"/>
  <c r="N27" i="19"/>
  <c r="J27" i="19"/>
  <c r="F27" i="19"/>
  <c r="R11" i="19"/>
  <c r="AM32" i="4"/>
  <c r="AM33" i="4"/>
  <c r="AM34" i="4"/>
  <c r="AM35" i="4"/>
  <c r="AM37" i="4"/>
  <c r="AM38" i="4"/>
  <c r="AM39" i="4"/>
  <c r="AM45" i="4"/>
  <c r="AM7" i="4" s="1"/>
  <c r="AC22" i="4"/>
  <c r="AE22" i="4"/>
  <c r="AG22" i="4"/>
  <c r="AI22" i="4"/>
  <c r="AJ22" i="4"/>
  <c r="AK22" i="4"/>
  <c r="V22" i="4"/>
  <c r="T22" i="4"/>
  <c r="V27" i="4"/>
  <c r="AC27" i="4"/>
  <c r="AE27" i="4"/>
  <c r="AG27" i="4"/>
  <c r="AI27" i="4"/>
  <c r="AJ27" i="4"/>
  <c r="AK27" i="4"/>
  <c r="O27" i="4"/>
  <c r="N27" i="4"/>
  <c r="M27" i="4"/>
  <c r="L27" i="4"/>
  <c r="K27" i="4"/>
  <c r="H27" i="4"/>
  <c r="G27" i="4"/>
  <c r="F27" i="4"/>
  <c r="M22" i="4"/>
  <c r="N22" i="4"/>
  <c r="O22" i="4"/>
  <c r="L22" i="4"/>
  <c r="K22" i="4"/>
  <c r="H22" i="4"/>
  <c r="G22" i="4"/>
  <c r="F22" i="4"/>
  <c r="AL17" i="4"/>
  <c r="AL16" i="4"/>
  <c r="AJ17" i="4"/>
  <c r="AJ16" i="4"/>
  <c r="AH17" i="4"/>
  <c r="AH16" i="4"/>
  <c r="AF17" i="4"/>
  <c r="AF16" i="4"/>
  <c r="AD17" i="4"/>
  <c r="AD16" i="4"/>
  <c r="Z17" i="4"/>
  <c r="Z16" i="4"/>
  <c r="W17" i="4"/>
  <c r="W16" i="4"/>
  <c r="U17" i="4"/>
  <c r="U16" i="4"/>
  <c r="S17" i="4"/>
  <c r="S16" i="4"/>
  <c r="K45" i="19" l="1"/>
  <c r="AO11" i="19"/>
  <c r="AN15" i="19"/>
  <c r="L45" i="19"/>
  <c r="E72" i="19"/>
  <c r="I72" i="19"/>
  <c r="M72" i="19"/>
  <c r="T72" i="19"/>
  <c r="V72" i="19"/>
  <c r="AN45" i="19"/>
  <c r="AO45" i="19" s="1"/>
  <c r="AF72" i="19"/>
  <c r="K72" i="19"/>
  <c r="AN72" i="19"/>
  <c r="AO72" i="19" s="1"/>
  <c r="L72" i="19"/>
  <c r="F45" i="19"/>
  <c r="J45" i="19"/>
  <c r="N45" i="19"/>
  <c r="AM45" i="19"/>
  <c r="E45" i="19"/>
  <c r="AN17" i="19"/>
  <c r="AN18" i="19"/>
  <c r="AN16" i="19"/>
  <c r="R16" i="19"/>
  <c r="R17" i="19"/>
  <c r="R18" i="19"/>
  <c r="R15" i="19"/>
  <c r="U84" i="19"/>
  <c r="AK84" i="19"/>
  <c r="AJ88" i="19"/>
  <c r="Z88" i="19"/>
  <c r="AF87" i="19"/>
  <c r="AF11" i="19"/>
  <c r="AF86" i="19"/>
  <c r="Z11" i="19"/>
  <c r="Z86" i="19"/>
  <c r="T11" i="19"/>
  <c r="T86" i="19"/>
  <c r="AH85" i="19"/>
  <c r="V89" i="19"/>
  <c r="AL11" i="19"/>
  <c r="K11" i="19"/>
  <c r="AD88" i="19"/>
  <c r="X88" i="19"/>
  <c r="AJ87" i="19"/>
  <c r="AD87" i="19"/>
  <c r="AJ86" i="19"/>
  <c r="AJ11" i="19"/>
  <c r="X11" i="19"/>
  <c r="X86" i="19"/>
  <c r="Z85" i="19"/>
  <c r="AH89" i="19"/>
  <c r="AB89" i="19"/>
  <c r="U89" i="19"/>
  <c r="AM89" i="19"/>
  <c r="AM87" i="19"/>
  <c r="F15" i="19"/>
  <c r="J11" i="19"/>
  <c r="F11" i="19"/>
  <c r="AM85" i="19"/>
  <c r="AH88" i="19"/>
  <c r="V88" i="19"/>
  <c r="AH87" i="19"/>
  <c r="AB87" i="19"/>
  <c r="W11" i="19"/>
  <c r="V87" i="19"/>
  <c r="AD86" i="19"/>
  <c r="AD11" i="19"/>
  <c r="AF89" i="19"/>
  <c r="Z89" i="19"/>
  <c r="T89" i="19"/>
  <c r="AL89" i="19"/>
  <c r="J18" i="19"/>
  <c r="K17" i="19"/>
  <c r="M16" i="19"/>
  <c r="N11" i="19"/>
  <c r="I11" i="19"/>
  <c r="I15" i="19"/>
  <c r="AF88" i="19"/>
  <c r="AA88" i="19"/>
  <c r="T88" i="19"/>
  <c r="AH11" i="19"/>
  <c r="AH86" i="19"/>
  <c r="AB11" i="19"/>
  <c r="AB86" i="19"/>
  <c r="V11" i="19"/>
  <c r="V86" i="19"/>
  <c r="W85" i="19"/>
  <c r="V85" i="19"/>
  <c r="AK89" i="19"/>
  <c r="X89" i="19"/>
  <c r="AM11" i="19"/>
  <c r="F17" i="19"/>
  <c r="G16" i="19"/>
  <c r="M11" i="19"/>
  <c r="H11" i="19"/>
  <c r="M27" i="19"/>
  <c r="M45" i="19" s="1"/>
  <c r="G63" i="19"/>
  <c r="G72" i="19" s="1"/>
  <c r="H63" i="19"/>
  <c r="H72" i="19" s="1"/>
  <c r="X54" i="19"/>
  <c r="X72" i="19" s="1"/>
  <c r="AB54" i="19"/>
  <c r="AJ54" i="19"/>
  <c r="AJ72" i="19" s="1"/>
  <c r="AA63" i="19"/>
  <c r="AD63" i="19"/>
  <c r="AD72" i="19" s="1"/>
  <c r="AL63" i="19"/>
  <c r="AL72" i="19" s="1"/>
  <c r="AL86" i="19"/>
  <c r="AM86" i="19"/>
  <c r="H27" i="19"/>
  <c r="H45" i="19" s="1"/>
  <c r="F63" i="19"/>
  <c r="F72" i="19" s="1"/>
  <c r="N63" i="19"/>
  <c r="N72" i="19" s="1"/>
  <c r="U36" i="19"/>
  <c r="AC36" i="19"/>
  <c r="AJ36" i="19"/>
  <c r="AN86" i="19"/>
  <c r="AA84" i="19"/>
  <c r="I27" i="19"/>
  <c r="I45" i="19" s="1"/>
  <c r="AM84" i="19"/>
  <c r="G81" i="19"/>
  <c r="K81" i="19"/>
  <c r="W86" i="19"/>
  <c r="W54" i="19"/>
  <c r="S36" i="19"/>
  <c r="S88" i="19"/>
  <c r="S89" i="19"/>
  <c r="S54" i="19"/>
  <c r="S63" i="19"/>
  <c r="AI88" i="19"/>
  <c r="AC89" i="19"/>
  <c r="AC84" i="19"/>
  <c r="AE54" i="19"/>
  <c r="AG54" i="19"/>
  <c r="AG87" i="19"/>
  <c r="AI84" i="19"/>
  <c r="S84" i="19"/>
  <c r="Y85" i="19"/>
  <c r="AG85" i="19"/>
  <c r="S85" i="19"/>
  <c r="U85" i="19"/>
  <c r="AC85" i="19"/>
  <c r="AK85" i="19"/>
  <c r="AL27" i="19"/>
  <c r="AL45" i="19" s="1"/>
  <c r="AF81" i="19"/>
  <c r="X81" i="19"/>
  <c r="AE86" i="19"/>
  <c r="AB63" i="19"/>
  <c r="AB72" i="19" s="1"/>
  <c r="Z63" i="19"/>
  <c r="Z72" i="19" s="1"/>
  <c r="Y63" i="19"/>
  <c r="AH54" i="19"/>
  <c r="AH72" i="19" s="1"/>
  <c r="AC54" i="19"/>
  <c r="AA54" i="19"/>
  <c r="Y54" i="19"/>
  <c r="AK36" i="19"/>
  <c r="AB36" i="19"/>
  <c r="AA36" i="19"/>
  <c r="Y36" i="19"/>
  <c r="X36" i="19"/>
  <c r="X45" i="19" s="1"/>
  <c r="AJ27" i="19"/>
  <c r="AF27" i="19"/>
  <c r="AF45" i="19" s="1"/>
  <c r="AG27" i="19"/>
  <c r="AC27" i="19"/>
  <c r="AB27" i="19"/>
  <c r="Z27" i="19"/>
  <c r="Z45" i="19" s="1"/>
  <c r="Y27" i="19"/>
  <c r="V36" i="19"/>
  <c r="V27" i="19"/>
  <c r="U63" i="19"/>
  <c r="U54" i="19"/>
  <c r="T27" i="19"/>
  <c r="T45" i="19" s="1"/>
  <c r="R63" i="19"/>
  <c r="R54" i="19"/>
  <c r="R86" i="19"/>
  <c r="R90" i="19" s="1"/>
  <c r="R27" i="19"/>
  <c r="R45" i="19" s="1"/>
  <c r="Y81" i="19"/>
  <c r="AA81" i="19"/>
  <c r="AA85" i="19"/>
  <c r="AI85" i="19"/>
  <c r="U81" i="19"/>
  <c r="AC81" i="19"/>
  <c r="AK81" i="19"/>
  <c r="AG81" i="19"/>
  <c r="AI89" i="19"/>
  <c r="F81" i="19"/>
  <c r="AM81" i="19"/>
  <c r="J63" i="19"/>
  <c r="J72" i="19" s="1"/>
  <c r="AG63" i="19"/>
  <c r="AI54" i="19"/>
  <c r="AI72" i="19" s="1"/>
  <c r="AK54" i="19"/>
  <c r="AK72" i="19" s="1"/>
  <c r="W36" i="19"/>
  <c r="AE36" i="19"/>
  <c r="AG36" i="19"/>
  <c r="U27" i="19"/>
  <c r="AE27" i="19"/>
  <c r="W27" i="19"/>
  <c r="AE88" i="19"/>
  <c r="AK27" i="19"/>
  <c r="S27" i="19"/>
  <c r="AA27" i="19"/>
  <c r="AE85" i="19"/>
  <c r="W84" i="19"/>
  <c r="W63" i="19"/>
  <c r="AE63" i="19"/>
  <c r="AE72" i="19" s="1"/>
  <c r="AM63" i="19"/>
  <c r="AM72" i="19" s="1"/>
  <c r="S81" i="19"/>
  <c r="AI81" i="19"/>
  <c r="AI27" i="19"/>
  <c r="AI45" i="19" s="1"/>
  <c r="T21" i="5"/>
  <c r="U21" i="5"/>
  <c r="V21" i="5"/>
  <c r="W21" i="5"/>
  <c r="Y21" i="5"/>
  <c r="AA21" i="5"/>
  <c r="AC21" i="5"/>
  <c r="AE21" i="5"/>
  <c r="AG21" i="5"/>
  <c r="AI21" i="5"/>
  <c r="AK21" i="5"/>
  <c r="AL21" i="5"/>
  <c r="AO21" i="5"/>
  <c r="S21" i="5"/>
  <c r="AN42" i="5"/>
  <c r="AN41" i="5"/>
  <c r="AN37" i="5"/>
  <c r="AN32" i="5"/>
  <c r="AN31" i="5"/>
  <c r="AN27" i="5"/>
  <c r="AN26" i="5"/>
  <c r="AN18" i="5"/>
  <c r="AN21" i="5" s="1"/>
  <c r="AN17" i="5"/>
  <c r="AN16" i="5"/>
  <c r="AN12" i="5"/>
  <c r="AN11" i="5"/>
  <c r="AN10" i="5"/>
  <c r="AN9" i="5"/>
  <c r="AJ42" i="5"/>
  <c r="AJ41" i="5"/>
  <c r="AJ37" i="5"/>
  <c r="AJ32" i="5"/>
  <c r="AJ31" i="5"/>
  <c r="AJ27" i="5"/>
  <c r="AJ26" i="5"/>
  <c r="AJ18" i="5"/>
  <c r="AJ21" i="5" s="1"/>
  <c r="AJ17" i="5"/>
  <c r="AJ16" i="5"/>
  <c r="AJ12" i="5"/>
  <c r="AJ11" i="5"/>
  <c r="AJ10" i="5"/>
  <c r="AJ9" i="5"/>
  <c r="AH42" i="5"/>
  <c r="AH41" i="5"/>
  <c r="AH37" i="5"/>
  <c r="AH32" i="5"/>
  <c r="AH31" i="5"/>
  <c r="AH27" i="5"/>
  <c r="AH26" i="5"/>
  <c r="AH18" i="5"/>
  <c r="AH21" i="5" s="1"/>
  <c r="AH17" i="5"/>
  <c r="AH16" i="5"/>
  <c r="AH12" i="5"/>
  <c r="AH11" i="5"/>
  <c r="AH10" i="5"/>
  <c r="AH9" i="5"/>
  <c r="AF42" i="5"/>
  <c r="AF41" i="5"/>
  <c r="AF37" i="5"/>
  <c r="AF32" i="5"/>
  <c r="AF31" i="5"/>
  <c r="AF27" i="5"/>
  <c r="AF26" i="5"/>
  <c r="AF18" i="5"/>
  <c r="AF21" i="5" s="1"/>
  <c r="AF17" i="5"/>
  <c r="AF16" i="5"/>
  <c r="AF12" i="5"/>
  <c r="AF11" i="5"/>
  <c r="AF10" i="5"/>
  <c r="AF9" i="5"/>
  <c r="AD42" i="5"/>
  <c r="AD41" i="5"/>
  <c r="AD37" i="5"/>
  <c r="AD32" i="5"/>
  <c r="AD31" i="5"/>
  <c r="AD27" i="5"/>
  <c r="AD18" i="5"/>
  <c r="AD21" i="5" s="1"/>
  <c r="AD17" i="5"/>
  <c r="AD16" i="5"/>
  <c r="AD12" i="5"/>
  <c r="AD11" i="5"/>
  <c r="AD10" i="5"/>
  <c r="AD9" i="5"/>
  <c r="AB37" i="5"/>
  <c r="AB32" i="5"/>
  <c r="AB31" i="5"/>
  <c r="AB27" i="5"/>
  <c r="AB18" i="5"/>
  <c r="AB21" i="5" s="1"/>
  <c r="AB17" i="5"/>
  <c r="AB16" i="5"/>
  <c r="AB10" i="5"/>
  <c r="AB9" i="5"/>
  <c r="Z37" i="5"/>
  <c r="Z32" i="5"/>
  <c r="Z31" i="5"/>
  <c r="Z27" i="5"/>
  <c r="Z18" i="5"/>
  <c r="Z21" i="5" s="1"/>
  <c r="Z17" i="5"/>
  <c r="Z16" i="5"/>
  <c r="Z10" i="5"/>
  <c r="Z9" i="5"/>
  <c r="X32" i="5"/>
  <c r="X31" i="5"/>
  <c r="X18" i="5"/>
  <c r="X21" i="5" s="1"/>
  <c r="X17" i="5"/>
  <c r="X16" i="5"/>
  <c r="X10" i="5"/>
  <c r="X9" i="5"/>
  <c r="X27" i="5"/>
  <c r="X37" i="5"/>
  <c r="W72" i="19" l="1"/>
  <c r="AF20" i="5"/>
  <c r="AJ20" i="5"/>
  <c r="AH22" i="4" s="1"/>
  <c r="AO16" i="19"/>
  <c r="AO17" i="19"/>
  <c r="AO15" i="19"/>
  <c r="AO18" i="19"/>
  <c r="Z20" i="5"/>
  <c r="U22" i="4" s="1"/>
  <c r="AN90" i="19"/>
  <c r="AO90" i="19" s="1"/>
  <c r="AO86" i="19"/>
  <c r="W45" i="19"/>
  <c r="V45" i="19"/>
  <c r="AA45" i="19"/>
  <c r="S72" i="19"/>
  <c r="AD22" i="4"/>
  <c r="AD27" i="4"/>
  <c r="AD20" i="5"/>
  <c r="AK45" i="19"/>
  <c r="AA72" i="19"/>
  <c r="Y72" i="19"/>
  <c r="AJ45" i="19"/>
  <c r="U72" i="19"/>
  <c r="X20" i="5"/>
  <c r="AB20" i="5"/>
  <c r="AH20" i="5"/>
  <c r="AN20" i="5"/>
  <c r="AG72" i="19"/>
  <c r="R72" i="19"/>
  <c r="Y45" i="19"/>
  <c r="AG45" i="19"/>
  <c r="S45" i="19"/>
  <c r="M15" i="19"/>
  <c r="AC45" i="19"/>
  <c r="N15" i="19"/>
  <c r="I16" i="19"/>
  <c r="AE45" i="19"/>
  <c r="AB45" i="19"/>
  <c r="U45" i="19"/>
  <c r="H15" i="19"/>
  <c r="J17" i="19"/>
  <c r="I18" i="19"/>
  <c r="H16" i="19"/>
  <c r="F18" i="19"/>
  <c r="J15" i="19"/>
  <c r="K16" i="19"/>
  <c r="N18" i="19"/>
  <c r="G17" i="19"/>
  <c r="Z17" i="19"/>
  <c r="Z15" i="19"/>
  <c r="Z16" i="19"/>
  <c r="Z18" i="19"/>
  <c r="V16" i="19"/>
  <c r="V18" i="19"/>
  <c r="V15" i="19"/>
  <c r="V17" i="19"/>
  <c r="AH17" i="19"/>
  <c r="AH16" i="19"/>
  <c r="AH18" i="19"/>
  <c r="AH15" i="19"/>
  <c r="X15" i="19"/>
  <c r="X18" i="19"/>
  <c r="X16" i="19"/>
  <c r="X17" i="19"/>
  <c r="AJ90" i="19"/>
  <c r="AL17" i="19"/>
  <c r="AL15" i="19"/>
  <c r="AL18" i="19"/>
  <c r="AL16" i="19"/>
  <c r="T18" i="19"/>
  <c r="T17" i="19"/>
  <c r="T15" i="19"/>
  <c r="T16" i="19"/>
  <c r="AF15" i="19"/>
  <c r="AF18" i="19"/>
  <c r="AF16" i="19"/>
  <c r="AF17" i="19"/>
  <c r="AM16" i="19"/>
  <c r="AM17" i="19"/>
  <c r="AM18" i="19"/>
  <c r="AM15" i="19"/>
  <c r="AB15" i="19"/>
  <c r="AB17" i="19"/>
  <c r="AB16" i="19"/>
  <c r="AB18" i="19"/>
  <c r="AD17" i="19"/>
  <c r="AD15" i="19"/>
  <c r="AD18" i="19"/>
  <c r="AD16" i="19"/>
  <c r="AJ15" i="19"/>
  <c r="AJ17" i="19"/>
  <c r="AJ16" i="19"/>
  <c r="AJ18" i="19"/>
  <c r="W15" i="19"/>
  <c r="W18" i="19"/>
  <c r="W16" i="19"/>
  <c r="W17" i="19"/>
  <c r="AD90" i="19"/>
  <c r="AB90" i="19"/>
  <c r="T90" i="19"/>
  <c r="AL90" i="19"/>
  <c r="V90" i="19"/>
  <c r="AH90" i="19"/>
  <c r="X90" i="19"/>
  <c r="AF90" i="19"/>
  <c r="Z90" i="19"/>
  <c r="AE89" i="19"/>
  <c r="AC86" i="19"/>
  <c r="AC11" i="19"/>
  <c r="U88" i="19"/>
  <c r="AA89" i="19"/>
  <c r="AK87" i="19"/>
  <c r="Y88" i="19"/>
  <c r="U87" i="19"/>
  <c r="I17" i="19"/>
  <c r="H18" i="19"/>
  <c r="M18" i="19"/>
  <c r="AA11" i="19"/>
  <c r="AA86" i="19"/>
  <c r="AE81" i="19"/>
  <c r="AG88" i="19"/>
  <c r="AM88" i="19"/>
  <c r="AM90" i="19" s="1"/>
  <c r="G18" i="19"/>
  <c r="K15" i="19"/>
  <c r="J16" i="19"/>
  <c r="W89" i="19"/>
  <c r="AI87" i="19"/>
  <c r="AE87" i="19"/>
  <c r="E17" i="19"/>
  <c r="L16" i="19"/>
  <c r="E18" i="19"/>
  <c r="L17" i="19"/>
  <c r="L18" i="19"/>
  <c r="E15" i="19"/>
  <c r="E16" i="19"/>
  <c r="L15" i="19"/>
  <c r="N16" i="19"/>
  <c r="H17" i="19"/>
  <c r="Y11" i="19"/>
  <c r="Y86" i="19"/>
  <c r="AK11" i="19"/>
  <c r="AK86" i="19"/>
  <c r="G15" i="19"/>
  <c r="F16" i="19"/>
  <c r="N17" i="19"/>
  <c r="Y89" i="19"/>
  <c r="U11" i="19"/>
  <c r="U86" i="19"/>
  <c r="AK88" i="19"/>
  <c r="AI11" i="19"/>
  <c r="AA87" i="19"/>
  <c r="AC88" i="19"/>
  <c r="W87" i="19"/>
  <c r="M17" i="19"/>
  <c r="K18" i="19"/>
  <c r="AE11" i="19"/>
  <c r="Y87" i="19"/>
  <c r="S87" i="19"/>
  <c r="S11" i="19"/>
  <c r="S86" i="19"/>
  <c r="AI86" i="19"/>
  <c r="AC87" i="19"/>
  <c r="AC63" i="19"/>
  <c r="AC72" i="19" s="1"/>
  <c r="AG89" i="19"/>
  <c r="AG11" i="19"/>
  <c r="AG86" i="19"/>
  <c r="AE84" i="19"/>
  <c r="Y84" i="19"/>
  <c r="AG84" i="19"/>
  <c r="W81" i="19"/>
  <c r="AH27" i="4" l="1"/>
  <c r="AL22" i="4"/>
  <c r="AL27" i="4"/>
  <c r="W27" i="4"/>
  <c r="W22" i="4"/>
  <c r="AF27" i="4"/>
  <c r="AF22" i="4"/>
  <c r="S15" i="19"/>
  <c r="S17" i="19"/>
  <c r="S16" i="19"/>
  <c r="S18" i="19"/>
  <c r="AG18" i="19"/>
  <c r="AG16" i="19"/>
  <c r="AG15" i="19"/>
  <c r="AG17" i="19"/>
  <c r="U17" i="19"/>
  <c r="U16" i="19"/>
  <c r="U18" i="19"/>
  <c r="U15" i="19"/>
  <c r="Y18" i="19"/>
  <c r="Y16" i="19"/>
  <c r="Y15" i="19"/>
  <c r="Y17" i="19"/>
  <c r="AE16" i="19"/>
  <c r="AE18" i="19"/>
  <c r="AE15" i="19"/>
  <c r="AE17" i="19"/>
  <c r="AK18" i="19"/>
  <c r="AK17" i="19"/>
  <c r="AK15" i="19"/>
  <c r="AK16" i="19"/>
  <c r="AC18" i="19"/>
  <c r="AC17" i="19"/>
  <c r="AC15" i="19"/>
  <c r="AC16" i="19"/>
  <c r="AI16" i="19"/>
  <c r="AI18" i="19"/>
  <c r="AI17" i="19"/>
  <c r="AI15" i="19"/>
  <c r="AA16" i="19"/>
  <c r="AA17" i="19"/>
  <c r="AA18" i="19"/>
  <c r="AA15" i="19"/>
  <c r="AC90" i="19"/>
  <c r="AK90" i="19"/>
  <c r="U90" i="19"/>
  <c r="Y90" i="19"/>
  <c r="W90" i="19"/>
  <c r="AA90" i="19"/>
  <c r="S90" i="19"/>
  <c r="AI90" i="19"/>
  <c r="AE90" i="19"/>
  <c r="AG90" i="19"/>
  <c r="F21" i="5"/>
  <c r="G21" i="5"/>
  <c r="H21" i="5"/>
  <c r="I21" i="5"/>
  <c r="J21" i="5"/>
  <c r="K21" i="5"/>
  <c r="L21" i="5"/>
  <c r="M21" i="5"/>
  <c r="N21" i="5"/>
  <c r="O21" i="5"/>
  <c r="P21" i="5"/>
  <c r="AL44" i="4" l="1"/>
  <c r="E24" i="4"/>
  <c r="F24" i="4"/>
  <c r="G24" i="4"/>
  <c r="H24" i="4"/>
  <c r="T24" i="4"/>
  <c r="V24" i="4"/>
  <c r="AC24" i="4"/>
  <c r="AE24" i="4"/>
  <c r="AG24" i="4"/>
  <c r="AI24" i="4"/>
  <c r="AK24" i="4"/>
  <c r="D24" i="4"/>
  <c r="F36" i="16"/>
  <c r="F34" i="16"/>
  <c r="E36" i="16"/>
  <c r="E34" i="16"/>
  <c r="D36" i="16"/>
  <c r="D34" i="16"/>
  <c r="G36" i="16"/>
  <c r="G34" i="16"/>
  <c r="H34" i="16"/>
  <c r="H36" i="16"/>
  <c r="J36" i="16"/>
  <c r="J34" i="16"/>
  <c r="K36" i="16"/>
  <c r="K34" i="16"/>
  <c r="L34" i="16"/>
  <c r="L36" i="16"/>
  <c r="L35" i="16"/>
  <c r="M36" i="16"/>
  <c r="M35" i="16"/>
  <c r="M34" i="16"/>
  <c r="N36" i="16"/>
  <c r="N34" i="16"/>
  <c r="N35" i="16"/>
  <c r="O36" i="16"/>
  <c r="O35" i="16"/>
  <c r="O34" i="16"/>
  <c r="E56" i="16"/>
  <c r="F56" i="16"/>
  <c r="J56" i="16"/>
  <c r="N56" i="16"/>
  <c r="O56" i="16"/>
  <c r="D56" i="16"/>
  <c r="R29" i="16" l="1"/>
  <c r="S29" i="16"/>
  <c r="T29" i="16"/>
  <c r="U29" i="16"/>
  <c r="V29" i="16"/>
  <c r="W29" i="16"/>
  <c r="X29" i="16"/>
  <c r="Y29" i="16"/>
  <c r="Z29" i="16"/>
  <c r="Z27" i="16"/>
  <c r="Z52" i="16" s="1"/>
  <c r="Y27" i="16"/>
  <c r="Y52" i="16" s="1"/>
  <c r="X27" i="16"/>
  <c r="X52" i="16" s="1"/>
  <c r="V27" i="16"/>
  <c r="V52" i="16" s="1"/>
  <c r="U27" i="16"/>
  <c r="U52" i="16" s="1"/>
  <c r="T27" i="16"/>
  <c r="T52" i="16" s="1"/>
  <c r="S27" i="16"/>
  <c r="S52" i="16" s="1"/>
  <c r="R27" i="16"/>
  <c r="Z26" i="16"/>
  <c r="Z28" i="16" s="1"/>
  <c r="Y26" i="16"/>
  <c r="X26" i="16"/>
  <c r="X28" i="16" s="1"/>
  <c r="V26" i="16"/>
  <c r="V28" i="16" s="1"/>
  <c r="U26" i="16"/>
  <c r="T26" i="16"/>
  <c r="T28" i="16" s="1"/>
  <c r="S26" i="16"/>
  <c r="R26" i="16"/>
  <c r="R28" i="16" s="1"/>
  <c r="R52" i="16" l="1"/>
  <c r="T30" i="16"/>
  <c r="X30" i="16"/>
  <c r="U28" i="16"/>
  <c r="U30" i="16" s="1"/>
  <c r="Y28" i="16"/>
  <c r="Y30" i="16" s="1"/>
  <c r="R30" i="16"/>
  <c r="S28" i="16"/>
  <c r="S30" i="16" s="1"/>
  <c r="V30" i="16"/>
  <c r="Z30" i="16"/>
  <c r="F44" i="4" l="1"/>
  <c r="I44" i="4"/>
  <c r="N44" i="4"/>
  <c r="O44" i="4"/>
  <c r="R44" i="4"/>
  <c r="S44" i="4"/>
  <c r="T44" i="4"/>
  <c r="V44" i="4"/>
  <c r="Y44" i="4"/>
  <c r="Z44" i="4"/>
  <c r="AC44" i="4"/>
  <c r="AG44" i="4"/>
  <c r="AI44" i="4"/>
  <c r="AJ44" i="4"/>
  <c r="AK44" i="4"/>
  <c r="V32" i="4"/>
  <c r="AC32" i="4"/>
  <c r="AE32" i="4"/>
  <c r="AG32" i="4"/>
  <c r="AI32" i="4"/>
  <c r="AK32" i="4"/>
  <c r="R34" i="4"/>
  <c r="T34" i="4"/>
  <c r="U34" i="4"/>
  <c r="V34" i="4"/>
  <c r="Y34" i="4"/>
  <c r="AC34" i="4"/>
  <c r="AD34" i="4"/>
  <c r="AE34" i="4"/>
  <c r="AF34" i="4"/>
  <c r="R35" i="4"/>
  <c r="T35" i="4"/>
  <c r="U35" i="4"/>
  <c r="V35" i="4"/>
  <c r="Y35" i="4"/>
  <c r="AC35" i="4"/>
  <c r="AD35" i="4"/>
  <c r="AE35" i="4"/>
  <c r="AF35" i="4"/>
  <c r="AK35" i="4"/>
  <c r="R37" i="4"/>
  <c r="T37" i="4"/>
  <c r="U37" i="4"/>
  <c r="V37" i="4"/>
  <c r="Y37" i="4"/>
  <c r="AC37" i="4"/>
  <c r="AD37" i="4"/>
  <c r="AE37" i="4"/>
  <c r="AF37" i="4"/>
  <c r="AG37" i="4"/>
  <c r="AK37" i="4"/>
  <c r="V38" i="4"/>
  <c r="Y38" i="4"/>
  <c r="AC38" i="4"/>
  <c r="AE38" i="4"/>
  <c r="AG38" i="4"/>
  <c r="AI38" i="4"/>
  <c r="AK38" i="4"/>
  <c r="R39" i="4"/>
  <c r="S39" i="4"/>
  <c r="T39" i="4"/>
  <c r="U39" i="4"/>
  <c r="V39" i="4"/>
  <c r="W39" i="4"/>
  <c r="Y39" i="4"/>
  <c r="Z39" i="4"/>
  <c r="AC39" i="4"/>
  <c r="AE39" i="4"/>
  <c r="AG39" i="4"/>
  <c r="AI39" i="4"/>
  <c r="AK39" i="4"/>
  <c r="E47" i="4"/>
  <c r="F47" i="4"/>
  <c r="G47" i="4"/>
  <c r="H47" i="4"/>
  <c r="I47" i="4"/>
  <c r="K47" i="4"/>
  <c r="L47" i="4"/>
  <c r="M47" i="4"/>
  <c r="N47" i="4"/>
  <c r="O47" i="4"/>
  <c r="T47" i="4"/>
  <c r="V47" i="4"/>
  <c r="Y47" i="4"/>
  <c r="AC47" i="4"/>
  <c r="AE47" i="4"/>
  <c r="AG47" i="4"/>
  <c r="AI47" i="4"/>
  <c r="AK47" i="4"/>
  <c r="D47" i="4"/>
  <c r="W175" i="18"/>
  <c r="W177" i="18"/>
  <c r="W180" i="18"/>
  <c r="W194" i="18"/>
  <c r="W174" i="18"/>
  <c r="N138" i="18"/>
  <c r="O138" i="18"/>
  <c r="N178" i="18"/>
  <c r="AG178" i="18" s="1"/>
  <c r="S174" i="18"/>
  <c r="S175" i="18"/>
  <c r="S177" i="18"/>
  <c r="S178" i="18"/>
  <c r="S180" i="18"/>
  <c r="Z178" i="18"/>
  <c r="Z12" i="18"/>
  <c r="J79" i="11"/>
  <c r="AE75" i="11"/>
  <c r="AC75" i="11"/>
  <c r="AA75" i="11"/>
  <c r="X75" i="11"/>
  <c r="X53" i="18"/>
  <c r="X136" i="18" s="1"/>
  <c r="X15" i="18"/>
  <c r="AC112" i="18"/>
  <c r="AC101" i="18"/>
  <c r="AC97" i="18"/>
  <c r="AC92" i="18"/>
  <c r="AC94" i="18" s="1"/>
  <c r="AC69" i="18"/>
  <c r="AC58" i="18"/>
  <c r="AC50" i="18"/>
  <c r="AC49" i="18"/>
  <c r="AC27" i="18"/>
  <c r="AC18" i="18"/>
  <c r="AC16" i="18"/>
  <c r="AC8" i="18"/>
  <c r="AC7" i="18"/>
  <c r="AA112" i="18"/>
  <c r="AA97" i="18"/>
  <c r="AA92" i="18"/>
  <c r="AA94" i="18" s="1"/>
  <c r="AA69" i="18"/>
  <c r="AA58" i="18"/>
  <c r="AA54" i="18"/>
  <c r="AA50" i="18"/>
  <c r="AA49" i="18"/>
  <c r="AA27" i="18"/>
  <c r="AA24" i="18"/>
  <c r="AA16" i="18"/>
  <c r="AA8" i="18"/>
  <c r="AA7" i="18"/>
  <c r="Y112" i="18"/>
  <c r="Y109" i="18"/>
  <c r="Y101" i="18"/>
  <c r="Y97" i="18"/>
  <c r="Y92" i="18"/>
  <c r="Y94" i="18" s="1"/>
  <c r="Y69" i="18"/>
  <c r="Y60" i="18"/>
  <c r="Y58" i="18"/>
  <c r="Y54" i="18"/>
  <c r="Y50" i="18"/>
  <c r="Y49" i="18"/>
  <c r="Y27" i="18"/>
  <c r="Y16" i="18"/>
  <c r="Y12" i="18"/>
  <c r="Y8" i="18"/>
  <c r="Y7" i="18"/>
  <c r="AE171" i="18"/>
  <c r="AE151" i="18"/>
  <c r="AE146" i="18"/>
  <c r="AE139" i="18"/>
  <c r="AC171" i="18"/>
  <c r="AC151" i="18"/>
  <c r="AC146" i="18"/>
  <c r="AC139" i="18"/>
  <c r="AA171" i="18"/>
  <c r="AA151" i="18"/>
  <c r="AA146" i="18"/>
  <c r="AA139" i="18"/>
  <c r="Y151" i="18"/>
  <c r="Y146" i="18"/>
  <c r="Y139" i="18"/>
  <c r="W112" i="18"/>
  <c r="W109" i="18"/>
  <c r="W101" i="18"/>
  <c r="W97" i="18"/>
  <c r="W92" i="18"/>
  <c r="W94" i="18" s="1"/>
  <c r="W69" i="18"/>
  <c r="W60" i="18"/>
  <c r="W58" i="18"/>
  <c r="W54" i="18"/>
  <c r="W50" i="18"/>
  <c r="W49" i="18"/>
  <c r="W27" i="18"/>
  <c r="W16" i="18"/>
  <c r="W8" i="18"/>
  <c r="W7" i="18"/>
  <c r="W171" i="18"/>
  <c r="W151" i="18"/>
  <c r="W146" i="18"/>
  <c r="W139" i="18"/>
  <c r="U180" i="18"/>
  <c r="U178" i="18"/>
  <c r="U177" i="18"/>
  <c r="U175" i="18"/>
  <c r="U174" i="18"/>
  <c r="U112" i="18"/>
  <c r="U109" i="18"/>
  <c r="U102" i="18"/>
  <c r="U101" i="18"/>
  <c r="U100" i="18"/>
  <c r="U97" i="18"/>
  <c r="U69" i="18"/>
  <c r="U66" i="18"/>
  <c r="U60" i="18"/>
  <c r="U59" i="18"/>
  <c r="U58" i="18"/>
  <c r="U54" i="18"/>
  <c r="U50" i="18"/>
  <c r="U49" i="18"/>
  <c r="U27" i="18"/>
  <c r="U16" i="18"/>
  <c r="U12" i="18"/>
  <c r="U8" i="18"/>
  <c r="U7" i="18"/>
  <c r="S8" i="18"/>
  <c r="S11" i="18"/>
  <c r="S12" i="18"/>
  <c r="S16" i="18"/>
  <c r="S26" i="18"/>
  <c r="S27" i="18"/>
  <c r="S28" i="18"/>
  <c r="S47" i="18"/>
  <c r="S48" i="18"/>
  <c r="S49" i="18"/>
  <c r="S50" i="18"/>
  <c r="S53" i="18"/>
  <c r="S54" i="18"/>
  <c r="S57" i="18"/>
  <c r="S58" i="18"/>
  <c r="S59" i="18"/>
  <c r="S60" i="18"/>
  <c r="S66" i="18"/>
  <c r="S68" i="18"/>
  <c r="S69" i="18"/>
  <c r="S70" i="18"/>
  <c r="S91" i="18"/>
  <c r="S92" i="18"/>
  <c r="S93" i="18"/>
  <c r="S95" i="18"/>
  <c r="S96" i="18"/>
  <c r="S97" i="18"/>
  <c r="S99" i="18"/>
  <c r="S100" i="18"/>
  <c r="S101" i="18"/>
  <c r="S102" i="18"/>
  <c r="S109" i="18"/>
  <c r="S111" i="18"/>
  <c r="S112" i="18"/>
  <c r="S113" i="18"/>
  <c r="S131" i="18"/>
  <c r="S7" i="18"/>
  <c r="T45" i="18"/>
  <c r="AB45" i="18"/>
  <c r="AF45" i="18"/>
  <c r="AH45" i="18"/>
  <c r="T37" i="18"/>
  <c r="AB37" i="18"/>
  <c r="AF37" i="18"/>
  <c r="AH37" i="18"/>
  <c r="T87" i="18"/>
  <c r="AB87" i="18"/>
  <c r="AF87" i="18"/>
  <c r="AH87" i="18"/>
  <c r="AJ87" i="18"/>
  <c r="AJ170" i="18" s="1"/>
  <c r="T79" i="18"/>
  <c r="AB79" i="18"/>
  <c r="AF79" i="18"/>
  <c r="AH79" i="18"/>
  <c r="AJ79" i="18"/>
  <c r="AJ162" i="18" s="1"/>
  <c r="T127" i="18"/>
  <c r="AB127" i="18"/>
  <c r="AF127" i="18"/>
  <c r="AH127" i="18"/>
  <c r="T121" i="18"/>
  <c r="AB121" i="18"/>
  <c r="AF121" i="18"/>
  <c r="AH121" i="18"/>
  <c r="T213" i="18"/>
  <c r="AB213" i="18"/>
  <c r="AF213" i="18"/>
  <c r="AJ213" i="18"/>
  <c r="T205" i="18"/>
  <c r="AB205" i="18"/>
  <c r="AF205" i="18"/>
  <c r="AJ205" i="18"/>
  <c r="R176" i="18"/>
  <c r="T176" i="18"/>
  <c r="V176" i="18"/>
  <c r="X176" i="18"/>
  <c r="Z176" i="18"/>
  <c r="AB176" i="18"/>
  <c r="AF176" i="18"/>
  <c r="AH176" i="18"/>
  <c r="AI176" i="18"/>
  <c r="AJ176" i="18"/>
  <c r="AH171" i="18"/>
  <c r="AF171" i="18"/>
  <c r="AB171" i="18"/>
  <c r="X171" i="18"/>
  <c r="U171" i="18"/>
  <c r="T171" i="18"/>
  <c r="AH161" i="18"/>
  <c r="AF161" i="18"/>
  <c r="AB161" i="18"/>
  <c r="X161" i="18"/>
  <c r="T161" i="18"/>
  <c r="AI152" i="18"/>
  <c r="AH152" i="18"/>
  <c r="AG152" i="18"/>
  <c r="AF152" i="18"/>
  <c r="AB152" i="18"/>
  <c r="Z152" i="18"/>
  <c r="X152" i="18"/>
  <c r="V152" i="18"/>
  <c r="T152" i="18"/>
  <c r="R152" i="18"/>
  <c r="AH151" i="18"/>
  <c r="AG151" i="18"/>
  <c r="AF151" i="18"/>
  <c r="AD151" i="18"/>
  <c r="AB151" i="18"/>
  <c r="Z151" i="18"/>
  <c r="X151" i="18"/>
  <c r="V151" i="18"/>
  <c r="U151" i="18"/>
  <c r="T151" i="18"/>
  <c r="R151" i="18"/>
  <c r="AI149" i="18"/>
  <c r="AH149" i="18"/>
  <c r="AG149" i="18"/>
  <c r="AF149" i="18"/>
  <c r="AB149" i="18"/>
  <c r="Z149" i="18"/>
  <c r="X149" i="18"/>
  <c r="V149" i="18"/>
  <c r="T149" i="18"/>
  <c r="R149" i="18"/>
  <c r="AI146" i="18"/>
  <c r="AH146" i="18"/>
  <c r="AG146" i="18"/>
  <c r="AF146" i="18"/>
  <c r="AB146" i="18"/>
  <c r="Z146" i="18"/>
  <c r="X146" i="18"/>
  <c r="V146" i="18"/>
  <c r="U146" i="18"/>
  <c r="T146" i="18"/>
  <c r="R146" i="18"/>
  <c r="AH144" i="18"/>
  <c r="AI144" i="18" s="1"/>
  <c r="AG144" i="18"/>
  <c r="AF144" i="18"/>
  <c r="AB144" i="18"/>
  <c r="AI143" i="18"/>
  <c r="AH143" i="18"/>
  <c r="AG143" i="18"/>
  <c r="AF143" i="18"/>
  <c r="AB143" i="18"/>
  <c r="Z143" i="18"/>
  <c r="X143" i="18"/>
  <c r="V143" i="18"/>
  <c r="T143" i="18"/>
  <c r="R143" i="18"/>
  <c r="AI142" i="18"/>
  <c r="AH142" i="18"/>
  <c r="AG142" i="18"/>
  <c r="AF142" i="18"/>
  <c r="AB142" i="18"/>
  <c r="Z142" i="18"/>
  <c r="X142" i="18"/>
  <c r="V142" i="18"/>
  <c r="T142" i="18"/>
  <c r="R142" i="18"/>
  <c r="AI141" i="18"/>
  <c r="AH141" i="18"/>
  <c r="AG141" i="18"/>
  <c r="AF141" i="18"/>
  <c r="AB141" i="18"/>
  <c r="Z141" i="18"/>
  <c r="X141" i="18"/>
  <c r="V141" i="18"/>
  <c r="T141" i="18"/>
  <c r="R141" i="18"/>
  <c r="AI140" i="18"/>
  <c r="AH140" i="18"/>
  <c r="AG140" i="18"/>
  <c r="AF140" i="18"/>
  <c r="AB140" i="18"/>
  <c r="Z140" i="18"/>
  <c r="X140" i="18"/>
  <c r="V140" i="18"/>
  <c r="T140" i="18"/>
  <c r="R140" i="18"/>
  <c r="AH139" i="18"/>
  <c r="AG139" i="18"/>
  <c r="AF139" i="18"/>
  <c r="AD139" i="18"/>
  <c r="AB139" i="18"/>
  <c r="Z139" i="18"/>
  <c r="X139" i="18"/>
  <c r="V139" i="18"/>
  <c r="U139" i="18"/>
  <c r="T139" i="18"/>
  <c r="R139" i="18"/>
  <c r="AI137" i="18"/>
  <c r="AH137" i="18"/>
  <c r="AG137" i="18"/>
  <c r="AF137" i="18"/>
  <c r="AB137" i="18"/>
  <c r="X137" i="18"/>
  <c r="V137" i="18"/>
  <c r="T137" i="18"/>
  <c r="R137" i="18"/>
  <c r="AI136" i="18"/>
  <c r="AH136" i="18"/>
  <c r="AG136" i="18"/>
  <c r="AF136" i="18"/>
  <c r="AB136" i="18"/>
  <c r="Z136" i="18"/>
  <c r="V136" i="18"/>
  <c r="T136" i="18"/>
  <c r="R136" i="18"/>
  <c r="AI135" i="18"/>
  <c r="AH135" i="18"/>
  <c r="AG135" i="18"/>
  <c r="AF135" i="18"/>
  <c r="AB135" i="18"/>
  <c r="Z135" i="18"/>
  <c r="X135" i="18"/>
  <c r="V135" i="18"/>
  <c r="T135" i="18"/>
  <c r="AI133" i="18"/>
  <c r="AH133" i="18"/>
  <c r="AG133" i="18"/>
  <c r="AF133" i="18"/>
  <c r="AB133" i="18"/>
  <c r="Z133" i="18"/>
  <c r="X133" i="18"/>
  <c r="V133" i="18"/>
  <c r="T133" i="18"/>
  <c r="R133" i="18"/>
  <c r="AI132" i="18"/>
  <c r="AH132" i="18"/>
  <c r="AG132" i="18"/>
  <c r="AF132" i="18"/>
  <c r="AB132" i="18"/>
  <c r="Z132" i="18"/>
  <c r="X132" i="18"/>
  <c r="V132" i="18"/>
  <c r="T132" i="18"/>
  <c r="R132" i="18"/>
  <c r="R94" i="18"/>
  <c r="R98" i="18" s="1"/>
  <c r="R108" i="18" s="1"/>
  <c r="R110" i="18" s="1"/>
  <c r="T94" i="18"/>
  <c r="T98" i="18" s="1"/>
  <c r="T108" i="18" s="1"/>
  <c r="T110" i="18" s="1"/>
  <c r="V94" i="18"/>
  <c r="V98" i="18" s="1"/>
  <c r="V108" i="18" s="1"/>
  <c r="V110" i="18" s="1"/>
  <c r="X94" i="18"/>
  <c r="X98" i="18" s="1"/>
  <c r="X108" i="18" s="1"/>
  <c r="X110" i="18" s="1"/>
  <c r="Z94" i="18"/>
  <c r="Z98" i="18" s="1"/>
  <c r="Z108" i="18" s="1"/>
  <c r="Z110" i="18" s="1"/>
  <c r="AB94" i="18"/>
  <c r="AB98" i="18" s="1"/>
  <c r="AB108" i="18" s="1"/>
  <c r="AB110" i="18" s="1"/>
  <c r="AF94" i="18"/>
  <c r="AF98" i="18" s="1"/>
  <c r="AF108" i="18" s="1"/>
  <c r="AF110" i="18" s="1"/>
  <c r="AG94" i="18"/>
  <c r="AG98" i="18" s="1"/>
  <c r="AG108" i="18" s="1"/>
  <c r="AG110" i="18" s="1"/>
  <c r="AH94" i="18"/>
  <c r="AH98" i="18" s="1"/>
  <c r="AH108" i="18" s="1"/>
  <c r="AH110" i="18" s="1"/>
  <c r="AI94" i="18"/>
  <c r="AI98" i="18" s="1"/>
  <c r="AI108" i="18" s="1"/>
  <c r="AI110" i="18" s="1"/>
  <c r="R51" i="18"/>
  <c r="T51" i="18"/>
  <c r="T55" i="18" s="1"/>
  <c r="T65" i="18" s="1"/>
  <c r="T67" i="18" s="1"/>
  <c r="V51" i="18"/>
  <c r="V55" i="18" s="1"/>
  <c r="V65" i="18" s="1"/>
  <c r="V67" i="18" s="1"/>
  <c r="X51" i="18"/>
  <c r="Z51" i="18"/>
  <c r="Z55" i="18" s="1"/>
  <c r="Z65" i="18" s="1"/>
  <c r="Z67" i="18" s="1"/>
  <c r="AB51" i="18"/>
  <c r="AB55" i="18" s="1"/>
  <c r="AB65" i="18" s="1"/>
  <c r="AB67" i="18" s="1"/>
  <c r="AF51" i="18"/>
  <c r="AF55" i="18" s="1"/>
  <c r="AF65" i="18" s="1"/>
  <c r="AF67" i="18" s="1"/>
  <c r="AG51" i="18"/>
  <c r="AG55" i="18" s="1"/>
  <c r="AG65" i="18" s="1"/>
  <c r="AG67" i="18" s="1"/>
  <c r="AH51" i="18"/>
  <c r="AH55" i="18" s="1"/>
  <c r="AH65" i="18" s="1"/>
  <c r="AH67" i="18" s="1"/>
  <c r="AI51" i="18"/>
  <c r="AI55" i="18" s="1"/>
  <c r="AI65" i="18" s="1"/>
  <c r="AI67" i="18" s="1"/>
  <c r="AJ51" i="18"/>
  <c r="R52" i="18"/>
  <c r="R135" i="18" s="1"/>
  <c r="X13" i="18"/>
  <c r="X23" i="18" s="1"/>
  <c r="AB13" i="18"/>
  <c r="AF13" i="18"/>
  <c r="AF23" i="18" s="1"/>
  <c r="AI13" i="18"/>
  <c r="AI23" i="18" s="1"/>
  <c r="AJ9" i="18"/>
  <c r="AN19" i="4" s="1"/>
  <c r="V75" i="11"/>
  <c r="T75" i="11"/>
  <c r="S74" i="11"/>
  <c r="U74" i="11"/>
  <c r="W74" i="11"/>
  <c r="Z74" i="11"/>
  <c r="AB74" i="11"/>
  <c r="AF74" i="11"/>
  <c r="AH74" i="11"/>
  <c r="AJ74" i="11"/>
  <c r="S59" i="11"/>
  <c r="U59" i="11"/>
  <c r="W59" i="11"/>
  <c r="Z59" i="11"/>
  <c r="AB59" i="11"/>
  <c r="AF59" i="11"/>
  <c r="AH59" i="11"/>
  <c r="AJ59" i="11"/>
  <c r="S36" i="11"/>
  <c r="R51" i="16" s="1"/>
  <c r="R50" i="16" s="1"/>
  <c r="U36" i="11"/>
  <c r="S51" i="16" s="1"/>
  <c r="S50" i="16" s="1"/>
  <c r="W36" i="11"/>
  <c r="T51" i="16" s="1"/>
  <c r="T50" i="16" s="1"/>
  <c r="Z36" i="11"/>
  <c r="U51" i="16" s="1"/>
  <c r="U50" i="16" s="1"/>
  <c r="AB36" i="11"/>
  <c r="AC42" i="4" s="1"/>
  <c r="AF36" i="11"/>
  <c r="X51" i="16" s="1"/>
  <c r="X50" i="16" s="1"/>
  <c r="AH36" i="11"/>
  <c r="Y51" i="16" s="1"/>
  <c r="Y50" i="16" s="1"/>
  <c r="AJ36" i="11"/>
  <c r="Z51" i="16" s="1"/>
  <c r="Z50" i="16" s="1"/>
  <c r="G94" i="18"/>
  <c r="G98" i="18" s="1"/>
  <c r="G108" i="18" s="1"/>
  <c r="G110" i="18" s="1"/>
  <c r="E95" i="18"/>
  <c r="E24" i="18"/>
  <c r="E149" i="18" s="1"/>
  <c r="E17" i="18"/>
  <c r="E15" i="18"/>
  <c r="E10" i="18"/>
  <c r="E135" i="18" s="1"/>
  <c r="F95" i="18"/>
  <c r="F12" i="18"/>
  <c r="F137" i="18" s="1"/>
  <c r="F11" i="18"/>
  <c r="F136" i="18" s="1"/>
  <c r="F10" i="18"/>
  <c r="G52" i="18"/>
  <c r="G24" i="18"/>
  <c r="S24" i="18" s="1"/>
  <c r="G17" i="18"/>
  <c r="S17" i="18" s="1"/>
  <c r="G15" i="18"/>
  <c r="G10" i="18"/>
  <c r="S10" i="18" s="1"/>
  <c r="E132" i="18"/>
  <c r="F132" i="18"/>
  <c r="G132" i="18"/>
  <c r="E133" i="18"/>
  <c r="F133" i="18"/>
  <c r="G133" i="18"/>
  <c r="S133" i="18" s="1"/>
  <c r="H133" i="18"/>
  <c r="G135" i="18"/>
  <c r="E136" i="18"/>
  <c r="G136" i="18"/>
  <c r="E137" i="18"/>
  <c r="G137" i="18"/>
  <c r="H137" i="18"/>
  <c r="E140" i="18"/>
  <c r="F140" i="18"/>
  <c r="E141" i="18"/>
  <c r="F141" i="18"/>
  <c r="G141" i="18"/>
  <c r="H141" i="18"/>
  <c r="E142" i="18"/>
  <c r="F142" i="18"/>
  <c r="G142" i="18"/>
  <c r="S142" i="18" s="1"/>
  <c r="E143" i="18"/>
  <c r="F143" i="18"/>
  <c r="G143" i="18"/>
  <c r="S143" i="18" s="1"/>
  <c r="H143" i="18"/>
  <c r="E146" i="18"/>
  <c r="F146" i="18"/>
  <c r="G146" i="18"/>
  <c r="H146" i="18"/>
  <c r="F149" i="18"/>
  <c r="G149" i="18"/>
  <c r="E151" i="18"/>
  <c r="F151" i="18"/>
  <c r="G151" i="18"/>
  <c r="H151" i="18"/>
  <c r="E152" i="18"/>
  <c r="F152" i="18"/>
  <c r="G152" i="18"/>
  <c r="H152" i="18"/>
  <c r="E161" i="18"/>
  <c r="F161" i="18"/>
  <c r="G161" i="18"/>
  <c r="S161" i="18" s="1"/>
  <c r="H161" i="18"/>
  <c r="U161" i="18" s="1"/>
  <c r="E171" i="18"/>
  <c r="F171" i="18"/>
  <c r="G171" i="18"/>
  <c r="S171" i="18" s="1"/>
  <c r="H171" i="18"/>
  <c r="H96" i="18"/>
  <c r="U96" i="18" s="1"/>
  <c r="H95" i="18"/>
  <c r="U95" i="18" s="1"/>
  <c r="H92" i="18"/>
  <c r="H132" i="18" s="1"/>
  <c r="H57" i="18"/>
  <c r="H53" i="18"/>
  <c r="U53" i="18" s="1"/>
  <c r="H52" i="18"/>
  <c r="U52" i="18" s="1"/>
  <c r="H24" i="18"/>
  <c r="H149" i="18" s="1"/>
  <c r="H17" i="18"/>
  <c r="H142" i="18" s="1"/>
  <c r="H15" i="18"/>
  <c r="U15" i="18" s="1"/>
  <c r="H11" i="18"/>
  <c r="H10" i="18"/>
  <c r="J213" i="18"/>
  <c r="Y213" i="18" s="1"/>
  <c r="J178" i="18"/>
  <c r="Y178" i="18" s="1"/>
  <c r="I178" i="18"/>
  <c r="W178" i="18" s="1"/>
  <c r="J133" i="18"/>
  <c r="J137" i="18"/>
  <c r="J141" i="18"/>
  <c r="J143" i="18"/>
  <c r="J146" i="18"/>
  <c r="J151" i="18"/>
  <c r="J152" i="18"/>
  <c r="J161" i="18"/>
  <c r="Y161" i="18" s="1"/>
  <c r="J132" i="18"/>
  <c r="I133" i="18"/>
  <c r="I141" i="18"/>
  <c r="I143" i="18"/>
  <c r="I146" i="18"/>
  <c r="I151" i="18"/>
  <c r="I152" i="18"/>
  <c r="I161" i="18"/>
  <c r="W161" i="18" s="1"/>
  <c r="I171" i="18"/>
  <c r="I132" i="18"/>
  <c r="I102" i="18"/>
  <c r="W102" i="18" s="1"/>
  <c r="I100" i="18"/>
  <c r="W100" i="18" s="1"/>
  <c r="I96" i="18"/>
  <c r="W96" i="18" s="1"/>
  <c r="I95" i="18"/>
  <c r="W95" i="18" s="1"/>
  <c r="I66" i="18"/>
  <c r="W66" i="18" s="1"/>
  <c r="I59" i="18"/>
  <c r="W59" i="18" s="1"/>
  <c r="I57" i="18"/>
  <c r="W57" i="18" s="1"/>
  <c r="I53" i="18"/>
  <c r="I52" i="18"/>
  <c r="W52" i="18" s="1"/>
  <c r="I24" i="18"/>
  <c r="I17" i="18"/>
  <c r="I15" i="18"/>
  <c r="I12" i="18"/>
  <c r="I11" i="18"/>
  <c r="W11" i="18" s="1"/>
  <c r="I10" i="18"/>
  <c r="J102" i="18"/>
  <c r="J100" i="18"/>
  <c r="Y100" i="18" s="1"/>
  <c r="J96" i="18"/>
  <c r="Y96" i="18" s="1"/>
  <c r="J95" i="18"/>
  <c r="Y95" i="18" s="1"/>
  <c r="J66" i="18"/>
  <c r="Y66" i="18" s="1"/>
  <c r="J59" i="18"/>
  <c r="Y59" i="18" s="1"/>
  <c r="J57" i="18"/>
  <c r="Y57" i="18" s="1"/>
  <c r="J53" i="18"/>
  <c r="Y53" i="18" s="1"/>
  <c r="J52" i="18"/>
  <c r="Y52" i="18" s="1"/>
  <c r="J46" i="18"/>
  <c r="J24" i="18"/>
  <c r="J17" i="18"/>
  <c r="Y17" i="18" s="1"/>
  <c r="J15" i="18"/>
  <c r="J11" i="18"/>
  <c r="J10" i="18"/>
  <c r="M178" i="18"/>
  <c r="AE178" i="18" s="1"/>
  <c r="M133" i="18"/>
  <c r="M141" i="18"/>
  <c r="M143" i="18"/>
  <c r="M146" i="18"/>
  <c r="M151" i="18"/>
  <c r="M152" i="18"/>
  <c r="M161" i="18"/>
  <c r="AE161" i="18" s="1"/>
  <c r="M171" i="18"/>
  <c r="M132" i="18"/>
  <c r="M96" i="18"/>
  <c r="M104" i="18"/>
  <c r="M102" i="18"/>
  <c r="M100" i="18"/>
  <c r="M97" i="18"/>
  <c r="M95" i="18"/>
  <c r="M57" i="18"/>
  <c r="M59" i="18"/>
  <c r="M53" i="18"/>
  <c r="M52" i="18"/>
  <c r="M24" i="18"/>
  <c r="M149" i="18" s="1"/>
  <c r="M17" i="18"/>
  <c r="M12" i="18"/>
  <c r="M11" i="18"/>
  <c r="M10" i="18"/>
  <c r="L178" i="18"/>
  <c r="AC178" i="18" s="1"/>
  <c r="L161" i="18"/>
  <c r="AC161" i="18" s="1"/>
  <c r="L171" i="18"/>
  <c r="L133" i="18"/>
  <c r="L141" i="18"/>
  <c r="L146" i="18"/>
  <c r="L151" i="18"/>
  <c r="L152" i="18"/>
  <c r="L132" i="18"/>
  <c r="L109" i="18"/>
  <c r="L102" i="18"/>
  <c r="L100" i="18"/>
  <c r="AC100" i="18" s="1"/>
  <c r="L96" i="18"/>
  <c r="AC96" i="18" s="1"/>
  <c r="L95" i="18"/>
  <c r="L66" i="18"/>
  <c r="AC66" i="18" s="1"/>
  <c r="L59" i="18"/>
  <c r="AC59" i="18" s="1"/>
  <c r="L57" i="18"/>
  <c r="AC57" i="18" s="1"/>
  <c r="L54" i="18"/>
  <c r="L53" i="18"/>
  <c r="L52" i="18"/>
  <c r="AC52" i="18" s="1"/>
  <c r="L24" i="18"/>
  <c r="AC24" i="18" s="1"/>
  <c r="L17" i="18"/>
  <c r="AC17" i="18" s="1"/>
  <c r="L15" i="18"/>
  <c r="AC15" i="18" s="1"/>
  <c r="L12" i="18"/>
  <c r="AC12" i="18" s="1"/>
  <c r="L11" i="18"/>
  <c r="AC11" i="18" s="1"/>
  <c r="L10" i="18"/>
  <c r="AC10" i="18" s="1"/>
  <c r="E213" i="18"/>
  <c r="F213" i="18"/>
  <c r="G213" i="18"/>
  <c r="S213" i="18" s="1"/>
  <c r="H213" i="18"/>
  <c r="U213" i="18" s="1"/>
  <c r="I213" i="18"/>
  <c r="W213" i="18" s="1"/>
  <c r="L213" i="18"/>
  <c r="AC213" i="18" s="1"/>
  <c r="M213" i="18"/>
  <c r="AE213" i="18" s="1"/>
  <c r="N213" i="18"/>
  <c r="AG213" i="18" s="1"/>
  <c r="O213" i="18"/>
  <c r="AI213" i="18" s="1"/>
  <c r="K213" i="18"/>
  <c r="AA213" i="18" s="1"/>
  <c r="E205" i="18"/>
  <c r="F205" i="18"/>
  <c r="G205" i="18"/>
  <c r="S205" i="18" s="1"/>
  <c r="H205" i="18"/>
  <c r="U205" i="18" s="1"/>
  <c r="I205" i="18"/>
  <c r="W205" i="18" s="1"/>
  <c r="J205" i="18"/>
  <c r="Y205" i="18" s="1"/>
  <c r="K205" i="18"/>
  <c r="AA205" i="18" s="1"/>
  <c r="L205" i="18"/>
  <c r="AC205" i="18" s="1"/>
  <c r="M205" i="18"/>
  <c r="AE205" i="18" s="1"/>
  <c r="N205" i="18"/>
  <c r="AG205" i="18" s="1"/>
  <c r="O205" i="18"/>
  <c r="AI205" i="18" s="1"/>
  <c r="K161" i="18"/>
  <c r="AA161" i="18" s="1"/>
  <c r="K171" i="18"/>
  <c r="E127" i="18"/>
  <c r="F127" i="18"/>
  <c r="G127" i="18"/>
  <c r="S127" i="18" s="1"/>
  <c r="H127" i="18"/>
  <c r="U127" i="18" s="1"/>
  <c r="I127" i="18"/>
  <c r="W127" i="18" s="1"/>
  <c r="J127" i="18"/>
  <c r="Y127" i="18" s="1"/>
  <c r="K127" i="18"/>
  <c r="AA127" i="18" s="1"/>
  <c r="L127" i="18"/>
  <c r="AC127" i="18" s="1"/>
  <c r="M127" i="18"/>
  <c r="AE127" i="18" s="1"/>
  <c r="N127" i="18"/>
  <c r="AG127" i="18" s="1"/>
  <c r="O127" i="18"/>
  <c r="AI127" i="18" s="1"/>
  <c r="E121" i="18"/>
  <c r="F121" i="18"/>
  <c r="G121" i="18"/>
  <c r="S121" i="18" s="1"/>
  <c r="H121" i="18"/>
  <c r="U121" i="18" s="1"/>
  <c r="I121" i="18"/>
  <c r="W121" i="18" s="1"/>
  <c r="J121" i="18"/>
  <c r="Y121" i="18" s="1"/>
  <c r="L121" i="18"/>
  <c r="AC121" i="18" s="1"/>
  <c r="M121" i="18"/>
  <c r="AE121" i="18" s="1"/>
  <c r="N121" i="18"/>
  <c r="AG121" i="18" s="1"/>
  <c r="O121" i="18"/>
  <c r="AI121" i="18" s="1"/>
  <c r="K118" i="18"/>
  <c r="E87" i="18"/>
  <c r="F87" i="18"/>
  <c r="G87" i="18"/>
  <c r="S87" i="18" s="1"/>
  <c r="H87" i="18"/>
  <c r="U87" i="18" s="1"/>
  <c r="I87" i="18"/>
  <c r="W87" i="18" s="1"/>
  <c r="J87" i="18"/>
  <c r="Y87" i="18" s="1"/>
  <c r="L87" i="18"/>
  <c r="AC87" i="18" s="1"/>
  <c r="M87" i="18"/>
  <c r="AE87" i="18" s="1"/>
  <c r="N87" i="18"/>
  <c r="AG87" i="18" s="1"/>
  <c r="K87" i="18"/>
  <c r="AA87" i="18" s="1"/>
  <c r="E79" i="18"/>
  <c r="F79" i="18"/>
  <c r="G79" i="18"/>
  <c r="S79" i="18" s="1"/>
  <c r="H79" i="18"/>
  <c r="U79" i="18" s="1"/>
  <c r="I79" i="18"/>
  <c r="W79" i="18" s="1"/>
  <c r="J79" i="18"/>
  <c r="Y79" i="18" s="1"/>
  <c r="K79" i="18"/>
  <c r="AA79" i="18" s="1"/>
  <c r="L79" i="18"/>
  <c r="AC79" i="18" s="1"/>
  <c r="M79" i="18"/>
  <c r="AE79" i="18" s="1"/>
  <c r="N79" i="18"/>
  <c r="AG79" i="18" s="1"/>
  <c r="O79" i="18"/>
  <c r="AI79" i="18" s="1"/>
  <c r="E45" i="18"/>
  <c r="F45" i="18"/>
  <c r="G45" i="18"/>
  <c r="S45" i="18" s="1"/>
  <c r="H45" i="18"/>
  <c r="U45" i="18" s="1"/>
  <c r="I45" i="18"/>
  <c r="W45" i="18" s="1"/>
  <c r="J45" i="18"/>
  <c r="Y45" i="18" s="1"/>
  <c r="K45" i="18"/>
  <c r="AA45" i="18" s="1"/>
  <c r="L45" i="18"/>
  <c r="AC45" i="18" s="1"/>
  <c r="M45" i="18"/>
  <c r="AE45" i="18" s="1"/>
  <c r="N45" i="18"/>
  <c r="AG45" i="18" s="1"/>
  <c r="O45" i="18"/>
  <c r="AI45" i="18" s="1"/>
  <c r="E37" i="18"/>
  <c r="F37" i="18"/>
  <c r="G37" i="18"/>
  <c r="S37" i="18" s="1"/>
  <c r="H37" i="18"/>
  <c r="U37" i="18" s="1"/>
  <c r="I37" i="18"/>
  <c r="W37" i="18" s="1"/>
  <c r="J37" i="18"/>
  <c r="Y37" i="18" s="1"/>
  <c r="K37" i="18"/>
  <c r="AA37" i="18" s="1"/>
  <c r="L37" i="18"/>
  <c r="AC37" i="18" s="1"/>
  <c r="M37" i="18"/>
  <c r="AE37" i="18" s="1"/>
  <c r="N37" i="18"/>
  <c r="AG37" i="18" s="1"/>
  <c r="O37" i="18"/>
  <c r="AI37" i="18" s="1"/>
  <c r="K178" i="18"/>
  <c r="E176" i="18"/>
  <c r="F176" i="18"/>
  <c r="G176" i="18"/>
  <c r="H176" i="18"/>
  <c r="I176" i="18"/>
  <c r="J176" i="18"/>
  <c r="K176" i="18"/>
  <c r="L176" i="18"/>
  <c r="M176" i="18"/>
  <c r="AE176" i="18" s="1"/>
  <c r="N176" i="18"/>
  <c r="O176" i="18"/>
  <c r="K133" i="18"/>
  <c r="K137" i="18"/>
  <c r="K141" i="18"/>
  <c r="K146" i="18"/>
  <c r="K151" i="18"/>
  <c r="K152" i="18"/>
  <c r="K132" i="18"/>
  <c r="E51" i="18"/>
  <c r="E55" i="18" s="1"/>
  <c r="E65" i="18" s="1"/>
  <c r="E67" i="18" s="1"/>
  <c r="F51" i="18"/>
  <c r="F55" i="18" s="1"/>
  <c r="F65" i="18" s="1"/>
  <c r="F67" i="18" s="1"/>
  <c r="G51" i="18"/>
  <c r="S51" i="18" s="1"/>
  <c r="H51" i="18"/>
  <c r="I51" i="18"/>
  <c r="J51" i="18"/>
  <c r="K51" i="18"/>
  <c r="L51" i="18"/>
  <c r="M51" i="18"/>
  <c r="N51" i="18"/>
  <c r="N55" i="18" s="1"/>
  <c r="N65" i="18" s="1"/>
  <c r="N67" i="18" s="1"/>
  <c r="O51" i="18"/>
  <c r="O55" i="18" s="1"/>
  <c r="O65" i="18" s="1"/>
  <c r="O67" i="18" s="1"/>
  <c r="K66" i="18"/>
  <c r="K143" i="18"/>
  <c r="K59" i="18"/>
  <c r="AA59" i="18" s="1"/>
  <c r="K57" i="18"/>
  <c r="AA57" i="18" s="1"/>
  <c r="K53" i="18"/>
  <c r="AA53" i="18" s="1"/>
  <c r="K52" i="18"/>
  <c r="AA52" i="18" s="1"/>
  <c r="E94" i="18"/>
  <c r="F94" i="18"/>
  <c r="I94" i="18"/>
  <c r="J94" i="18"/>
  <c r="K94" i="18"/>
  <c r="L94" i="18"/>
  <c r="M94" i="18"/>
  <c r="N94" i="18"/>
  <c r="N98" i="18" s="1"/>
  <c r="N108" i="18" s="1"/>
  <c r="O94" i="18"/>
  <c r="O98" i="18" s="1"/>
  <c r="O108" i="18" s="1"/>
  <c r="K102" i="18"/>
  <c r="AA102" i="18" s="1"/>
  <c r="K100" i="18"/>
  <c r="AA100" i="18" s="1"/>
  <c r="AA96" i="18"/>
  <c r="K95" i="18"/>
  <c r="AA95" i="18" s="1"/>
  <c r="E9" i="18"/>
  <c r="F9" i="18"/>
  <c r="G9" i="18"/>
  <c r="H9" i="18"/>
  <c r="I9" i="18"/>
  <c r="J9" i="18"/>
  <c r="K9" i="18"/>
  <c r="K19" i="4" s="1"/>
  <c r="L9" i="18"/>
  <c r="L19" i="4" s="1"/>
  <c r="M9" i="18"/>
  <c r="M19" i="4" s="1"/>
  <c r="N9" i="18"/>
  <c r="O9" i="18"/>
  <c r="K144" i="18"/>
  <c r="K17" i="18"/>
  <c r="K15" i="18"/>
  <c r="K11" i="18"/>
  <c r="K10" i="18"/>
  <c r="AA178" i="18" l="1"/>
  <c r="E98" i="18"/>
  <c r="E108" i="18" s="1"/>
  <c r="E110" i="18" s="1"/>
  <c r="J13" i="18"/>
  <c r="J23" i="18" s="1"/>
  <c r="L55" i="18"/>
  <c r="L65" i="18" s="1"/>
  <c r="L67" i="18" s="1"/>
  <c r="H55" i="18"/>
  <c r="H65" i="18" s="1"/>
  <c r="H67" i="18" s="1"/>
  <c r="AG176" i="18"/>
  <c r="S149" i="18"/>
  <c r="S135" i="18"/>
  <c r="S52" i="18"/>
  <c r="AJ55" i="18"/>
  <c r="AK134" i="18"/>
  <c r="AK138" i="18" s="1"/>
  <c r="AJ181" i="18"/>
  <c r="AK176" i="18"/>
  <c r="AK181" i="18" s="1"/>
  <c r="AK191" i="18" s="1"/>
  <c r="AK193" i="18" s="1"/>
  <c r="W152" i="18"/>
  <c r="AC9" i="18"/>
  <c r="AF19" i="4" s="1"/>
  <c r="W9" i="18"/>
  <c r="W19" i="4" s="1"/>
  <c r="M140" i="18"/>
  <c r="R55" i="18"/>
  <c r="R65" i="18" s="1"/>
  <c r="R67" i="18" s="1"/>
  <c r="O13" i="18"/>
  <c r="O23" i="18" s="1"/>
  <c r="O25" i="18" s="1"/>
  <c r="O19" i="4"/>
  <c r="N13" i="18"/>
  <c r="N23" i="18" s="1"/>
  <c r="N25" i="18" s="1"/>
  <c r="N19" i="4"/>
  <c r="K121" i="18"/>
  <c r="AA121" i="18" s="1"/>
  <c r="AA118" i="18"/>
  <c r="S176" i="18"/>
  <c r="S9" i="18"/>
  <c r="S19" i="4" s="1"/>
  <c r="M144" i="18"/>
  <c r="AE104" i="18"/>
  <c r="U9" i="18"/>
  <c r="U19" i="4" s="1"/>
  <c r="U152" i="18"/>
  <c r="AA9" i="18"/>
  <c r="AD19" i="4" s="1"/>
  <c r="J171" i="18"/>
  <c r="Y46" i="18"/>
  <c r="Y171" i="18" s="1"/>
  <c r="AM19" i="4"/>
  <c r="AM21" i="4" s="1"/>
  <c r="AN21" i="4" s="1"/>
  <c r="AJ134" i="18"/>
  <c r="AH162" i="18"/>
  <c r="AH170" i="18"/>
  <c r="W176" i="18"/>
  <c r="AC176" i="18"/>
  <c r="AA176" i="18"/>
  <c r="Y176" i="18"/>
  <c r="U176" i="18"/>
  <c r="W143" i="18"/>
  <c r="N110" i="18"/>
  <c r="N148" i="18"/>
  <c r="O110" i="18"/>
  <c r="O148" i="18"/>
  <c r="Y133" i="18"/>
  <c r="Y9" i="18"/>
  <c r="AF162" i="18"/>
  <c r="U51" i="18"/>
  <c r="S151" i="18"/>
  <c r="S132" i="18"/>
  <c r="S146" i="18"/>
  <c r="R42" i="4"/>
  <c r="R45" i="4" s="1"/>
  <c r="R7" i="4" s="1"/>
  <c r="AB76" i="11"/>
  <c r="V51" i="16"/>
  <c r="V50" i="16" s="1"/>
  <c r="AK42" i="4"/>
  <c r="AK45" i="4" s="1"/>
  <c r="AK7" i="4" s="1"/>
  <c r="Y42" i="4"/>
  <c r="Y45" i="4" s="1"/>
  <c r="Y7" i="4" s="1"/>
  <c r="AI42" i="4"/>
  <c r="AI45" i="4" s="1"/>
  <c r="AI7" i="4" s="1"/>
  <c r="V42" i="4"/>
  <c r="V45" i="4" s="1"/>
  <c r="V7" i="4" s="1"/>
  <c r="AG42" i="4"/>
  <c r="AG45" i="4" s="1"/>
  <c r="AG7" i="4" s="1"/>
  <c r="T42" i="4"/>
  <c r="T45" i="4" s="1"/>
  <c r="T7" i="4" s="1"/>
  <c r="AC45" i="4"/>
  <c r="AC7" i="4" s="1"/>
  <c r="S76" i="11"/>
  <c r="AC144" i="18"/>
  <c r="S141" i="18"/>
  <c r="V134" i="18"/>
  <c r="V138" i="18" s="1"/>
  <c r="AF134" i="18"/>
  <c r="AF138" i="18" s="1"/>
  <c r="F134" i="18"/>
  <c r="M98" i="18"/>
  <c r="W132" i="18"/>
  <c r="E13" i="18"/>
  <c r="S139" i="18"/>
  <c r="M13" i="18"/>
  <c r="M23" i="18" s="1"/>
  <c r="I13" i="18"/>
  <c r="I23" i="18" s="1"/>
  <c r="H94" i="18"/>
  <c r="H98" i="18" s="1"/>
  <c r="H108" i="18" s="1"/>
  <c r="H110" i="18" s="1"/>
  <c r="AH134" i="18"/>
  <c r="AH138" i="18" s="1"/>
  <c r="Z134" i="18"/>
  <c r="AJ13" i="18"/>
  <c r="AJ23" i="18" s="1"/>
  <c r="U92" i="18"/>
  <c r="U94" i="18" s="1"/>
  <c r="U98" i="18" s="1"/>
  <c r="U108" i="18" s="1"/>
  <c r="U110" i="18" s="1"/>
  <c r="S94" i="18"/>
  <c r="X55" i="18"/>
  <c r="X65" i="18" s="1"/>
  <c r="X67" i="18" s="1"/>
  <c r="U137" i="18"/>
  <c r="Y143" i="18"/>
  <c r="AA132" i="18"/>
  <c r="AC132" i="18"/>
  <c r="I170" i="18"/>
  <c r="W170" i="18" s="1"/>
  <c r="I135" i="18"/>
  <c r="K134" i="18"/>
  <c r="J98" i="18"/>
  <c r="J108" i="18" s="1"/>
  <c r="J110" i="18" s="1"/>
  <c r="M55" i="18"/>
  <c r="M65" i="18" s="1"/>
  <c r="M67" i="18" s="1"/>
  <c r="L135" i="18"/>
  <c r="S137" i="18"/>
  <c r="H13" i="18"/>
  <c r="H23" i="18" s="1"/>
  <c r="K140" i="18"/>
  <c r="J170" i="18"/>
  <c r="Y170" i="18" s="1"/>
  <c r="I162" i="18"/>
  <c r="W162" i="18" s="1"/>
  <c r="M170" i="18"/>
  <c r="AE170" i="18" s="1"/>
  <c r="H170" i="18"/>
  <c r="U170" i="18" s="1"/>
  <c r="L136" i="18"/>
  <c r="AC53" i="18"/>
  <c r="AC136" i="18" s="1"/>
  <c r="AC140" i="18"/>
  <c r="M135" i="18"/>
  <c r="J136" i="18"/>
  <c r="Y11" i="18"/>
  <c r="Y136" i="18" s="1"/>
  <c r="I137" i="18"/>
  <c r="W12" i="18"/>
  <c r="W137" i="18" s="1"/>
  <c r="H135" i="18"/>
  <c r="U10" i="18"/>
  <c r="U135" i="18" s="1"/>
  <c r="AI134" i="18"/>
  <c r="AI138" i="18" s="1"/>
  <c r="W51" i="18"/>
  <c r="W133" i="18"/>
  <c r="AA60" i="18"/>
  <c r="AA143" i="18" s="1"/>
  <c r="AC95" i="18"/>
  <c r="K142" i="18"/>
  <c r="AA17" i="18"/>
  <c r="AA142" i="18" s="1"/>
  <c r="L137" i="18"/>
  <c r="AC54" i="18"/>
  <c r="L142" i="18"/>
  <c r="AC102" i="18"/>
  <c r="AC142" i="18" s="1"/>
  <c r="M137" i="18"/>
  <c r="M136" i="18"/>
  <c r="J140" i="18"/>
  <c r="Y15" i="18"/>
  <c r="Y140" i="18" s="1"/>
  <c r="J142" i="18"/>
  <c r="Y102" i="18"/>
  <c r="Y142" i="18" s="1"/>
  <c r="I140" i="18"/>
  <c r="W15" i="18"/>
  <c r="W140" i="18" s="1"/>
  <c r="I136" i="18"/>
  <c r="W53" i="18"/>
  <c r="W136" i="18" s="1"/>
  <c r="U11" i="18"/>
  <c r="U136" i="18" s="1"/>
  <c r="H136" i="18"/>
  <c r="S98" i="18"/>
  <c r="S108" i="18" s="1"/>
  <c r="S110" i="18" s="1"/>
  <c r="S152" i="18"/>
  <c r="U133" i="18"/>
  <c r="W10" i="18"/>
  <c r="W135" i="18" s="1"/>
  <c r="AA15" i="18"/>
  <c r="AA140" i="18" s="1"/>
  <c r="K149" i="18"/>
  <c r="AA66" i="18"/>
  <c r="I142" i="18"/>
  <c r="W17" i="18"/>
  <c r="W142" i="18" s="1"/>
  <c r="G140" i="18"/>
  <c r="S140" i="18" s="1"/>
  <c r="S15" i="18"/>
  <c r="R13" i="18"/>
  <c r="R134" i="18"/>
  <c r="R138" i="18" s="1"/>
  <c r="AG134" i="18"/>
  <c r="AG138" i="18" s="1"/>
  <c r="AG13" i="18"/>
  <c r="AI148" i="18"/>
  <c r="AI25" i="18"/>
  <c r="AI150" i="18" s="1"/>
  <c r="AF25" i="18"/>
  <c r="AF150" i="18" s="1"/>
  <c r="AF148" i="18"/>
  <c r="Y137" i="18"/>
  <c r="Z137" i="18"/>
  <c r="AA12" i="18"/>
  <c r="AA137" i="18" s="1"/>
  <c r="K135" i="18"/>
  <c r="AA10" i="18"/>
  <c r="AA135" i="18" s="1"/>
  <c r="L140" i="18"/>
  <c r="K136" i="18"/>
  <c r="AA11" i="18"/>
  <c r="AA136" i="18" s="1"/>
  <c r="G134" i="18"/>
  <c r="G138" i="18" s="1"/>
  <c r="S134" i="18"/>
  <c r="L149" i="18"/>
  <c r="AC109" i="18"/>
  <c r="AC149" i="18" s="1"/>
  <c r="S136" i="18"/>
  <c r="M142" i="18"/>
  <c r="J135" i="18"/>
  <c r="J149" i="18"/>
  <c r="I149" i="18"/>
  <c r="H140" i="18"/>
  <c r="AH13" i="18"/>
  <c r="Z13" i="18"/>
  <c r="U17" i="18"/>
  <c r="U142" i="18" s="1"/>
  <c r="U24" i="18"/>
  <c r="U149" i="18" s="1"/>
  <c r="Y10" i="18"/>
  <c r="Y135" i="18" s="1"/>
  <c r="AA149" i="18"/>
  <c r="F135" i="18"/>
  <c r="U143" i="18"/>
  <c r="Y24" i="18"/>
  <c r="Y149" i="18" s="1"/>
  <c r="AC133" i="18"/>
  <c r="AC60" i="18"/>
  <c r="AC143" i="18" s="1"/>
  <c r="AF170" i="18"/>
  <c r="U57" i="18"/>
  <c r="U140" i="18" s="1"/>
  <c r="W24" i="18"/>
  <c r="W149" i="18" s="1"/>
  <c r="W141" i="18"/>
  <c r="AB162" i="18"/>
  <c r="AC152" i="18"/>
  <c r="AC137" i="18"/>
  <c r="AC51" i="18"/>
  <c r="AB134" i="18"/>
  <c r="AB138" i="18" s="1"/>
  <c r="AC141" i="18"/>
  <c r="AC135" i="18"/>
  <c r="AB23" i="18"/>
  <c r="AA152" i="18"/>
  <c r="AA98" i="18"/>
  <c r="AA108" i="18" s="1"/>
  <c r="AA110" i="18" s="1"/>
  <c r="AA133" i="18"/>
  <c r="AA51" i="18"/>
  <c r="AA55" i="18" s="1"/>
  <c r="AA65" i="18" s="1"/>
  <c r="AA141" i="18"/>
  <c r="AJ76" i="11"/>
  <c r="AF76" i="11"/>
  <c r="AH76" i="11"/>
  <c r="Z76" i="11"/>
  <c r="Z79" i="11" s="1"/>
  <c r="AA77" i="11" s="1"/>
  <c r="W76" i="11"/>
  <c r="Y152" i="18"/>
  <c r="X134" i="18"/>
  <c r="X138" i="18" s="1"/>
  <c r="Y51" i="18"/>
  <c r="Y55" i="18" s="1"/>
  <c r="Y65" i="18" s="1"/>
  <c r="Y67" i="18" s="1"/>
  <c r="Y132" i="18"/>
  <c r="Y141" i="18"/>
  <c r="X25" i="18"/>
  <c r="X150" i="18" s="1"/>
  <c r="AC98" i="18"/>
  <c r="AC108" i="18" s="1"/>
  <c r="Y98" i="18"/>
  <c r="Y108" i="18" s="1"/>
  <c r="Y110" i="18" s="1"/>
  <c r="W98" i="18"/>
  <c r="W108" i="18" s="1"/>
  <c r="W110" i="18" s="1"/>
  <c r="V13" i="18"/>
  <c r="U55" i="18"/>
  <c r="U141" i="18"/>
  <c r="T134" i="18"/>
  <c r="T138" i="18" s="1"/>
  <c r="T13" i="18"/>
  <c r="T162" i="18"/>
  <c r="AB170" i="18"/>
  <c r="X170" i="18"/>
  <c r="T170" i="18"/>
  <c r="X162" i="18"/>
  <c r="M134" i="18"/>
  <c r="L13" i="18"/>
  <c r="L23" i="18" s="1"/>
  <c r="K98" i="18"/>
  <c r="K108" i="18" s="1"/>
  <c r="K110" i="18" s="1"/>
  <c r="F98" i="18"/>
  <c r="F108" i="18" s="1"/>
  <c r="F110" i="18" s="1"/>
  <c r="K55" i="18"/>
  <c r="K65" i="18" s="1"/>
  <c r="K67" i="18" s="1"/>
  <c r="G55" i="18"/>
  <c r="H162" i="18"/>
  <c r="U162" i="18" s="1"/>
  <c r="K170" i="18"/>
  <c r="AA170" i="18" s="1"/>
  <c r="L170" i="18"/>
  <c r="AC170" i="18" s="1"/>
  <c r="J55" i="18"/>
  <c r="J65" i="18" s="1"/>
  <c r="J67" i="18" s="1"/>
  <c r="M162" i="18"/>
  <c r="AE162" i="18" s="1"/>
  <c r="I134" i="18"/>
  <c r="I98" i="18"/>
  <c r="I108" i="18" s="1"/>
  <c r="I110" i="18" s="1"/>
  <c r="I55" i="18"/>
  <c r="I65" i="18" s="1"/>
  <c r="I67" i="18" s="1"/>
  <c r="U76" i="11"/>
  <c r="G170" i="18"/>
  <c r="S170" i="18" s="1"/>
  <c r="G162" i="18"/>
  <c r="S162" i="18" s="1"/>
  <c r="E170" i="18"/>
  <c r="J162" i="18"/>
  <c r="Y162" i="18" s="1"/>
  <c r="E162" i="18"/>
  <c r="E23" i="18"/>
  <c r="E134" i="18"/>
  <c r="E138" i="18" s="1"/>
  <c r="F170" i="18"/>
  <c r="F162" i="18"/>
  <c r="F13" i="18"/>
  <c r="G13" i="18"/>
  <c r="J134" i="18"/>
  <c r="L162" i="18"/>
  <c r="AC162" i="18" s="1"/>
  <c r="L134" i="18"/>
  <c r="L138" i="18" s="1"/>
  <c r="L98" i="18"/>
  <c r="K13" i="18"/>
  <c r="K23" i="18" s="1"/>
  <c r="X148" i="18" l="1"/>
  <c r="O150" i="18"/>
  <c r="AC55" i="18"/>
  <c r="AC65" i="18" s="1"/>
  <c r="AC67" i="18" s="1"/>
  <c r="AJ191" i="18"/>
  <c r="AJ138" i="18"/>
  <c r="AJ65" i="18"/>
  <c r="U65" i="18"/>
  <c r="U67" i="18" s="1"/>
  <c r="W55" i="18"/>
  <c r="W65" i="18" s="1"/>
  <c r="W67" i="18" s="1"/>
  <c r="I138" i="18"/>
  <c r="K162" i="18"/>
  <c r="AA162" i="18" s="1"/>
  <c r="AC110" i="18"/>
  <c r="AA67" i="18"/>
  <c r="J148" i="18"/>
  <c r="K138" i="18"/>
  <c r="N150" i="18"/>
  <c r="F138" i="18"/>
  <c r="H134" i="18"/>
  <c r="H138" i="18" s="1"/>
  <c r="K25" i="18"/>
  <c r="K150" i="18" s="1"/>
  <c r="K148" i="18"/>
  <c r="L25" i="18"/>
  <c r="H25" i="18"/>
  <c r="H150" i="18" s="1"/>
  <c r="H148" i="18"/>
  <c r="I25" i="18"/>
  <c r="I150" i="18" s="1"/>
  <c r="I148" i="18"/>
  <c r="M25" i="18"/>
  <c r="Z138" i="18"/>
  <c r="S138" i="18"/>
  <c r="J138" i="18"/>
  <c r="M138" i="18"/>
  <c r="S13" i="18"/>
  <c r="M108" i="18"/>
  <c r="M148" i="18" s="1"/>
  <c r="Z23" i="18"/>
  <c r="Z25" i="18" s="1"/>
  <c r="Z150" i="18" s="1"/>
  <c r="U13" i="18"/>
  <c r="U134" i="18"/>
  <c r="U138" i="18" s="1"/>
  <c r="U132" i="18"/>
  <c r="G65" i="18"/>
  <c r="S55" i="18"/>
  <c r="R23" i="18"/>
  <c r="G23" i="18"/>
  <c r="AG23" i="18"/>
  <c r="AH23" i="18"/>
  <c r="AB25" i="18"/>
  <c r="AB150" i="18" s="1"/>
  <c r="AB148" i="18"/>
  <c r="AC13" i="18"/>
  <c r="AC134" i="18"/>
  <c r="AC138" i="18" s="1"/>
  <c r="AA13" i="18"/>
  <c r="AA134" i="18"/>
  <c r="AA138" i="18" s="1"/>
  <c r="Y13" i="18"/>
  <c r="Y134" i="18"/>
  <c r="Y138" i="18" s="1"/>
  <c r="W13" i="18"/>
  <c r="W134" i="18"/>
  <c r="W138" i="18" s="1"/>
  <c r="V23" i="18"/>
  <c r="T23" i="18"/>
  <c r="J25" i="18"/>
  <c r="J150" i="18" s="1"/>
  <c r="E25" i="18"/>
  <c r="E150" i="18" s="1"/>
  <c r="E148" i="18"/>
  <c r="F23" i="18"/>
  <c r="G25" i="18"/>
  <c r="L108" i="18"/>
  <c r="L148" i="18" s="1"/>
  <c r="M110" i="18" l="1"/>
  <c r="AJ67" i="18"/>
  <c r="AK65" i="18"/>
  <c r="AK67" i="18" s="1"/>
  <c r="AJ193" i="18"/>
  <c r="M150" i="18"/>
  <c r="G148" i="18"/>
  <c r="AJ25" i="18"/>
  <c r="AJ148" i="18"/>
  <c r="AK148" i="18" s="1"/>
  <c r="Z148" i="18"/>
  <c r="U23" i="18"/>
  <c r="S23" i="18"/>
  <c r="AH148" i="18"/>
  <c r="AH25" i="18"/>
  <c r="AH150" i="18" s="1"/>
  <c r="AG148" i="18"/>
  <c r="AG25" i="18"/>
  <c r="AG150" i="18" s="1"/>
  <c r="R25" i="18"/>
  <c r="R150" i="18" s="1"/>
  <c r="R148" i="18"/>
  <c r="G67" i="18"/>
  <c r="S67" i="18" s="1"/>
  <c r="S65" i="18"/>
  <c r="AC23" i="18"/>
  <c r="AA23" i="18"/>
  <c r="Y23" i="18"/>
  <c r="W23" i="18"/>
  <c r="V148" i="18"/>
  <c r="V25" i="18"/>
  <c r="V150" i="18" s="1"/>
  <c r="T148" i="18"/>
  <c r="T25" i="18"/>
  <c r="T150" i="18" s="1"/>
  <c r="F148" i="18"/>
  <c r="F25" i="18"/>
  <c r="F150" i="18" s="1"/>
  <c r="L110" i="18"/>
  <c r="L150" i="18" s="1"/>
  <c r="AJ150" i="18" l="1"/>
  <c r="AK150" i="18" s="1"/>
  <c r="S148" i="18"/>
  <c r="G150" i="18"/>
  <c r="U148" i="18"/>
  <c r="U25" i="18"/>
  <c r="U150" i="18" s="1"/>
  <c r="S25" i="18"/>
  <c r="S150" i="18" s="1"/>
  <c r="AC148" i="18"/>
  <c r="AC25" i="18"/>
  <c r="AC150" i="18" s="1"/>
  <c r="AA148" i="18"/>
  <c r="AA25" i="18"/>
  <c r="AA150" i="18" s="1"/>
  <c r="Y148" i="18"/>
  <c r="Y25" i="18"/>
  <c r="Y150" i="18" s="1"/>
  <c r="W148" i="18"/>
  <c r="W25" i="18"/>
  <c r="W150" i="18" s="1"/>
  <c r="AE112" i="18" l="1"/>
  <c r="AE69" i="18"/>
  <c r="AE27" i="18" l="1"/>
  <c r="AE152" i="18" s="1"/>
  <c r="AD152" i="18"/>
  <c r="AE50" i="18" l="1"/>
  <c r="AE109" i="18" l="1"/>
  <c r="AE96" i="18"/>
  <c r="AE97" i="18"/>
  <c r="AE58" i="18"/>
  <c r="AE59" i="18"/>
  <c r="AE66" i="18"/>
  <c r="AE54" i="18"/>
  <c r="AE53" i="18"/>
  <c r="AD87" i="18" l="1"/>
  <c r="AD79" i="18"/>
  <c r="AD171" i="18"/>
  <c r="AE102" i="18"/>
  <c r="AE101" i="18"/>
  <c r="AE103" i="18"/>
  <c r="AE60" i="18"/>
  <c r="AD146" i="18"/>
  <c r="AD121" i="18" l="1"/>
  <c r="AE24" i="18"/>
  <c r="AE149" i="18" s="1"/>
  <c r="AE92" i="18"/>
  <c r="AE94" i="18" s="1"/>
  <c r="AE49" i="18"/>
  <c r="AE51" i="18" s="1"/>
  <c r="AD149" i="18"/>
  <c r="AD51" i="18"/>
  <c r="AD127" i="18"/>
  <c r="AD213" i="18"/>
  <c r="AD161" i="18"/>
  <c r="AE100" i="18"/>
  <c r="AE61" i="18"/>
  <c r="AE18" i="18" l="1"/>
  <c r="AE143" i="18" s="1"/>
  <c r="AE11" i="18"/>
  <c r="AE136" i="18" s="1"/>
  <c r="AE52" i="18"/>
  <c r="AE55" i="18" s="1"/>
  <c r="AE8" i="18"/>
  <c r="AE95" i="18"/>
  <c r="AE98" i="18" s="1"/>
  <c r="AE108" i="18" s="1"/>
  <c r="AE110" i="18" s="1"/>
  <c r="AD55" i="18"/>
  <c r="AD133" i="18"/>
  <c r="AD108" i="18"/>
  <c r="AD110" i="18" s="1"/>
  <c r="AD143" i="18"/>
  <c r="AD136" i="18"/>
  <c r="AD205" i="18"/>
  <c r="AE133" i="18" l="1"/>
  <c r="AE17" i="18"/>
  <c r="AE142" i="18" s="1"/>
  <c r="AE57" i="18"/>
  <c r="AE65" i="18" s="1"/>
  <c r="AE67" i="18" s="1"/>
  <c r="AE10" i="18"/>
  <c r="AE135" i="18" s="1"/>
  <c r="AE19" i="18"/>
  <c r="AE144" i="18" s="1"/>
  <c r="AE15" i="18"/>
  <c r="AE16" i="18"/>
  <c r="AE141" i="18" s="1"/>
  <c r="AD141" i="18"/>
  <c r="AD65" i="18"/>
  <c r="AD67" i="18" s="1"/>
  <c r="AD135" i="18"/>
  <c r="AD144" i="18"/>
  <c r="AD142" i="18"/>
  <c r="AD140" i="18"/>
  <c r="AE7" i="18" l="1"/>
  <c r="AE9" i="18" s="1"/>
  <c r="AH19" i="4" s="1"/>
  <c r="AE140" i="18"/>
  <c r="AE12" i="18"/>
  <c r="AE137" i="18" s="1"/>
  <c r="AD132" i="18"/>
  <c r="AD137" i="18"/>
  <c r="AD37" i="18"/>
  <c r="AD162" i="18" s="1"/>
  <c r="AD134" i="18"/>
  <c r="AE132" i="18" l="1"/>
  <c r="AD138" i="18"/>
  <c r="AE13" i="18"/>
  <c r="AD45" i="18"/>
  <c r="AD170" i="18" s="1"/>
  <c r="AD13" i="18"/>
  <c r="AE134" i="18" l="1"/>
  <c r="AE138" i="18" s="1"/>
  <c r="AE23" i="18"/>
  <c r="AD23" i="18"/>
  <c r="AD148" i="18" s="1"/>
  <c r="AE148" i="18" l="1"/>
  <c r="AE25" i="18"/>
  <c r="AE150" i="18" s="1"/>
  <c r="AD25" i="18"/>
  <c r="AD150" i="18" s="1"/>
  <c r="E19" i="4" l="1"/>
  <c r="F19" i="4"/>
  <c r="G19" i="4"/>
  <c r="H19" i="4"/>
  <c r="D19" i="4"/>
  <c r="S77" i="11"/>
  <c r="S79" i="11" s="1"/>
  <c r="T77" i="11" s="1"/>
  <c r="J59" i="11"/>
  <c r="O59" i="11"/>
  <c r="AI59" i="11" s="1"/>
  <c r="P59" i="11"/>
  <c r="AK59" i="11" s="1"/>
  <c r="E44" i="4"/>
  <c r="J74" i="11"/>
  <c r="O74" i="11"/>
  <c r="AI74" i="11" s="1"/>
  <c r="P74" i="11"/>
  <c r="AK74" i="11" s="1"/>
  <c r="F59" i="11" l="1"/>
  <c r="E59" i="11"/>
  <c r="F74" i="11"/>
  <c r="E74" i="11"/>
  <c r="E29" i="16" l="1"/>
  <c r="F29" i="16"/>
  <c r="G29" i="16"/>
  <c r="H29" i="16"/>
  <c r="J29" i="16"/>
  <c r="K29" i="16"/>
  <c r="L29" i="16"/>
  <c r="N29" i="16"/>
  <c r="O29" i="16"/>
  <c r="D29" i="16"/>
  <c r="E27" i="16"/>
  <c r="N27" i="16"/>
  <c r="O27" i="16"/>
  <c r="D27" i="16"/>
  <c r="D52" i="16" s="1"/>
  <c r="E26" i="16"/>
  <c r="F26" i="16"/>
  <c r="J26" i="16"/>
  <c r="N26" i="16"/>
  <c r="O26" i="16"/>
  <c r="O28" i="16" s="1"/>
  <c r="D26" i="16"/>
  <c r="E14" i="16"/>
  <c r="F14" i="16"/>
  <c r="G14" i="16"/>
  <c r="H14" i="16"/>
  <c r="J14" i="16"/>
  <c r="K14" i="16"/>
  <c r="L14" i="16"/>
  <c r="M14" i="16"/>
  <c r="N14" i="16"/>
  <c r="O14" i="16"/>
  <c r="R14" i="16"/>
  <c r="S14" i="16"/>
  <c r="T14" i="16"/>
  <c r="U14" i="16"/>
  <c r="V14" i="16"/>
  <c r="W14" i="16"/>
  <c r="X14" i="16"/>
  <c r="Y14" i="16"/>
  <c r="Z14" i="16"/>
  <c r="D14" i="16"/>
  <c r="E13" i="16"/>
  <c r="F13" i="16"/>
  <c r="G13" i="16"/>
  <c r="H13" i="16"/>
  <c r="J13" i="16"/>
  <c r="K13" i="16"/>
  <c r="L13" i="16"/>
  <c r="M13" i="16"/>
  <c r="N13" i="16"/>
  <c r="O13" i="16"/>
  <c r="R13" i="16"/>
  <c r="S13" i="16"/>
  <c r="T13" i="16"/>
  <c r="U13" i="16"/>
  <c r="V13" i="16"/>
  <c r="W13" i="16"/>
  <c r="X13" i="16"/>
  <c r="Y13" i="16"/>
  <c r="Z13" i="16"/>
  <c r="D13" i="16"/>
  <c r="E8" i="16"/>
  <c r="F8" i="16"/>
  <c r="G8" i="16"/>
  <c r="H8" i="16"/>
  <c r="J8" i="16"/>
  <c r="K8" i="16"/>
  <c r="L8" i="16"/>
  <c r="M8" i="16"/>
  <c r="N8" i="16"/>
  <c r="O8" i="16"/>
  <c r="R8" i="16"/>
  <c r="S8" i="16"/>
  <c r="T8" i="16"/>
  <c r="U8" i="16"/>
  <c r="V8" i="16"/>
  <c r="W8" i="16"/>
  <c r="X8" i="16"/>
  <c r="Y8" i="16"/>
  <c r="Z8" i="16"/>
  <c r="D8" i="16"/>
  <c r="E7" i="16"/>
  <c r="F7" i="16"/>
  <c r="G7" i="16"/>
  <c r="H7" i="16"/>
  <c r="J7" i="16"/>
  <c r="K7" i="16"/>
  <c r="L7" i="16"/>
  <c r="M7" i="16"/>
  <c r="N7" i="16"/>
  <c r="O7" i="16"/>
  <c r="R7" i="16"/>
  <c r="S7" i="16"/>
  <c r="T7" i="16"/>
  <c r="U7" i="16"/>
  <c r="V7" i="16"/>
  <c r="W7" i="16"/>
  <c r="X7" i="16"/>
  <c r="Y7" i="16"/>
  <c r="Z7" i="16"/>
  <c r="D7" i="16"/>
  <c r="D32" i="4"/>
  <c r="E32" i="4"/>
  <c r="F32" i="4"/>
  <c r="G32" i="4"/>
  <c r="H32" i="4"/>
  <c r="K32" i="4"/>
  <c r="L32" i="4"/>
  <c r="M32" i="4"/>
  <c r="N32" i="4"/>
  <c r="D34" i="4"/>
  <c r="E34" i="4"/>
  <c r="F34" i="4"/>
  <c r="G34" i="4"/>
  <c r="H34" i="4"/>
  <c r="I34" i="4"/>
  <c r="K34" i="4"/>
  <c r="L34" i="4"/>
  <c r="M34" i="4"/>
  <c r="N34" i="4"/>
  <c r="D35" i="4"/>
  <c r="E35" i="4"/>
  <c r="F35" i="4"/>
  <c r="G35" i="4"/>
  <c r="H35" i="4"/>
  <c r="I35" i="4"/>
  <c r="K35" i="4"/>
  <c r="L35" i="4"/>
  <c r="M35" i="4"/>
  <c r="N35" i="4"/>
  <c r="D37" i="4"/>
  <c r="E37" i="4"/>
  <c r="F37" i="4"/>
  <c r="G37" i="4"/>
  <c r="H37" i="4"/>
  <c r="I37" i="4"/>
  <c r="K37" i="4"/>
  <c r="L37" i="4"/>
  <c r="M37" i="4"/>
  <c r="N37" i="4"/>
  <c r="D38" i="4"/>
  <c r="E38" i="4"/>
  <c r="F38" i="4"/>
  <c r="G38" i="4"/>
  <c r="H38" i="4"/>
  <c r="I38" i="4"/>
  <c r="K38" i="4"/>
  <c r="L38" i="4"/>
  <c r="M38" i="4"/>
  <c r="N38" i="4"/>
  <c r="I39" i="4"/>
  <c r="K39" i="4"/>
  <c r="L39" i="4"/>
  <c r="M39" i="4"/>
  <c r="N39" i="4"/>
  <c r="N28" i="16" l="1"/>
  <c r="Z11" i="16"/>
  <c r="V11" i="16"/>
  <c r="R11" i="16"/>
  <c r="L11" i="16"/>
  <c r="H11" i="16"/>
  <c r="Y11" i="16"/>
  <c r="U11" i="16"/>
  <c r="O11" i="16"/>
  <c r="K11" i="16"/>
  <c r="G11" i="16"/>
  <c r="X11" i="16"/>
  <c r="T11" i="16"/>
  <c r="N11" i="16"/>
  <c r="J11" i="16"/>
  <c r="F11" i="16"/>
  <c r="D11" i="16"/>
  <c r="W11" i="16"/>
  <c r="S11" i="16"/>
  <c r="M11" i="16"/>
  <c r="E11" i="16"/>
  <c r="E28" i="16"/>
  <c r="E30" i="16" s="1"/>
  <c r="D28" i="16"/>
  <c r="D30" i="16" s="1"/>
  <c r="E52" i="16"/>
  <c r="O52" i="16"/>
  <c r="N52" i="16"/>
  <c r="O30" i="16"/>
  <c r="N30" i="16"/>
  <c r="D15" i="16"/>
  <c r="D18" i="16" s="1"/>
  <c r="W15" i="16"/>
  <c r="S15" i="16"/>
  <c r="M15" i="16"/>
  <c r="E15" i="16"/>
  <c r="Z15" i="16"/>
  <c r="V15" i="16"/>
  <c r="R15" i="16"/>
  <c r="L15" i="16"/>
  <c r="H15" i="16"/>
  <c r="X15" i="16"/>
  <c r="T15" i="16"/>
  <c r="N15" i="16"/>
  <c r="J15" i="16"/>
  <c r="F15" i="16"/>
  <c r="Y15" i="16"/>
  <c r="U15" i="16"/>
  <c r="O15" i="16"/>
  <c r="K15" i="16"/>
  <c r="G15" i="16"/>
  <c r="L18" i="16"/>
  <c r="D42" i="16" l="1"/>
  <c r="T42" i="16"/>
  <c r="O42" i="16"/>
  <c r="L42" i="16"/>
  <c r="M42" i="16"/>
  <c r="F42" i="16"/>
  <c r="X42" i="16"/>
  <c r="U42" i="16"/>
  <c r="S42" i="16"/>
  <c r="J42" i="16"/>
  <c r="G42" i="16"/>
  <c r="Y42" i="16"/>
  <c r="V42" i="16"/>
  <c r="E42" i="16"/>
  <c r="W42" i="16"/>
  <c r="N42" i="16"/>
  <c r="K42" i="16"/>
  <c r="H42" i="16"/>
  <c r="Z42" i="16"/>
  <c r="F18" i="16"/>
  <c r="G18" i="16"/>
  <c r="K18" i="16"/>
  <c r="O18" i="16"/>
  <c r="U18" i="16"/>
  <c r="Y18" i="16"/>
  <c r="T18" i="16"/>
  <c r="X18" i="16"/>
  <c r="H18" i="16"/>
  <c r="R18" i="16"/>
  <c r="V18" i="16"/>
  <c r="Z18" i="16"/>
  <c r="M18" i="16"/>
  <c r="S18" i="16"/>
  <c r="W18" i="16"/>
  <c r="E18" i="16"/>
  <c r="J18" i="16"/>
  <c r="N18" i="16"/>
  <c r="V46" i="16" l="1"/>
  <c r="T46" i="16"/>
  <c r="U46" i="16"/>
  <c r="S46" i="16"/>
  <c r="Z46" i="16"/>
  <c r="R46" i="16"/>
  <c r="X46" i="16"/>
  <c r="Y46" i="16"/>
  <c r="O37" i="4"/>
  <c r="O39" i="4"/>
  <c r="O38" i="4"/>
  <c r="O32" i="4"/>
  <c r="F27" i="16"/>
  <c r="G59" i="11"/>
  <c r="T59" i="11" s="1"/>
  <c r="F52" i="16" l="1"/>
  <c r="F28" i="16"/>
  <c r="F30" i="16" s="1"/>
  <c r="G74" i="11"/>
  <c r="T74" i="11" s="1"/>
  <c r="L77" i="11"/>
  <c r="Z35" i="4"/>
  <c r="Z34" i="4"/>
  <c r="Y32" i="4"/>
  <c r="W35" i="4"/>
  <c r="W34" i="4"/>
  <c r="I46" i="3"/>
  <c r="S35" i="4"/>
  <c r="S34" i="4"/>
  <c r="I47" i="3" l="1"/>
  <c r="W37" i="4"/>
  <c r="Z37" i="4"/>
  <c r="S37" i="4"/>
  <c r="J27" i="16" l="1"/>
  <c r="J52" i="16" s="1"/>
  <c r="K16" i="10"/>
  <c r="I32" i="4"/>
  <c r="AL37" i="4"/>
  <c r="AH37" i="4"/>
  <c r="K77" i="3"/>
  <c r="K78" i="3" s="1"/>
  <c r="I11" i="4" s="1"/>
  <c r="J28" i="16" l="1"/>
  <c r="J30" i="16" s="1"/>
  <c r="G56" i="16"/>
  <c r="U44" i="4"/>
  <c r="G44" i="4"/>
  <c r="G26" i="16"/>
  <c r="G27" i="16"/>
  <c r="G52" i="16" s="1"/>
  <c r="H59" i="11"/>
  <c r="V59" i="11" s="1"/>
  <c r="H74" i="11"/>
  <c r="V74" i="11" s="1"/>
  <c r="F77" i="11"/>
  <c r="G77" i="11"/>
  <c r="H77" i="11"/>
  <c r="I77" i="11"/>
  <c r="O35" i="4"/>
  <c r="O34" i="4"/>
  <c r="D44" i="4"/>
  <c r="G28" i="16" l="1"/>
  <c r="G30" i="16" s="1"/>
  <c r="H56" i="16"/>
  <c r="K26" i="16"/>
  <c r="L26" i="16"/>
  <c r="K27" i="16"/>
  <c r="K52" i="16" s="1"/>
  <c r="L44" i="4"/>
  <c r="AD44" i="4"/>
  <c r="K44" i="4"/>
  <c r="L27" i="16"/>
  <c r="L52" i="16" s="1"/>
  <c r="L56" i="16"/>
  <c r="K56" i="16"/>
  <c r="W44" i="4"/>
  <c r="H44" i="4"/>
  <c r="H26" i="16"/>
  <c r="H27" i="16"/>
  <c r="H52" i="16" s="1"/>
  <c r="I59" i="11"/>
  <c r="X59" i="11" s="1"/>
  <c r="M59" i="11"/>
  <c r="L59" i="11"/>
  <c r="AC59" i="11" s="1"/>
  <c r="L74" i="11"/>
  <c r="AC74" i="11" s="1"/>
  <c r="I74" i="11"/>
  <c r="X74" i="11" s="1"/>
  <c r="M74" i="11"/>
  <c r="N77" i="11"/>
  <c r="P33" i="11"/>
  <c r="K28" i="16" l="1"/>
  <c r="K30" i="16" s="1"/>
  <c r="L28" i="16"/>
  <c r="L30" i="16" s="1"/>
  <c r="M56" i="16"/>
  <c r="H28" i="16"/>
  <c r="H30" i="16" s="1"/>
  <c r="M44" i="4"/>
  <c r="AH44" i="4"/>
  <c r="M26" i="16"/>
  <c r="M27" i="16"/>
  <c r="M52" i="16" s="1"/>
  <c r="M29" i="16"/>
  <c r="N59" i="11"/>
  <c r="AG59" i="11" s="1"/>
  <c r="N74" i="11"/>
  <c r="P36" i="11"/>
  <c r="O28" i="11"/>
  <c r="O33" i="11" s="1"/>
  <c r="O36" i="11" l="1"/>
  <c r="N42" i="4" s="1"/>
  <c r="N45" i="4" s="1"/>
  <c r="N7" i="4" s="1"/>
  <c r="M28" i="16"/>
  <c r="M30" i="16" s="1"/>
  <c r="AG74" i="11"/>
  <c r="O51" i="16"/>
  <c r="O42" i="4"/>
  <c r="O45" i="4" s="1"/>
  <c r="O7" i="4" s="1"/>
  <c r="AK36" i="11"/>
  <c r="AK76" i="11" s="1"/>
  <c r="P76" i="11"/>
  <c r="O76" i="11" l="1"/>
  <c r="N51" i="16"/>
  <c r="N55" i="16" s="1"/>
  <c r="N54" i="16" s="1"/>
  <c r="N47" i="16" s="1"/>
  <c r="AI36" i="11"/>
  <c r="AI76" i="11" s="1"/>
  <c r="O55" i="16"/>
  <c r="O54" i="16" s="1"/>
  <c r="O47" i="16" s="1"/>
  <c r="O50" i="16"/>
  <c r="O46" i="16" s="1"/>
  <c r="AL42" i="4"/>
  <c r="AL45" i="4" s="1"/>
  <c r="AL7" i="4" s="1"/>
  <c r="N50" i="16"/>
  <c r="N46" i="16" s="1"/>
  <c r="AJ42" i="4" l="1"/>
  <c r="AJ45" i="4" s="1"/>
  <c r="AJ7" i="4" s="1"/>
  <c r="K74" i="11"/>
  <c r="AA74" i="11" s="1"/>
  <c r="K59" i="11"/>
  <c r="AA59" i="11" s="1"/>
  <c r="M77" i="11"/>
  <c r="O77" i="11"/>
  <c r="O79" i="11" s="1"/>
  <c r="P77" i="11"/>
  <c r="P79" i="11" s="1"/>
  <c r="Q77" i="11" s="1"/>
  <c r="Q79" i="11" s="1"/>
  <c r="AK77" i="3" l="1"/>
  <c r="AK78" i="3" s="1"/>
  <c r="AI11" i="4" s="1"/>
  <c r="AL77" i="3"/>
  <c r="AL78" i="3" s="1"/>
  <c r="AJ11" i="4" s="1"/>
  <c r="AO77" i="3"/>
  <c r="AO78" i="3" s="1"/>
  <c r="AK64" i="3"/>
  <c r="AK65" i="3" s="1"/>
  <c r="AL64" i="3"/>
  <c r="AL65" i="3" s="1"/>
  <c r="AO64" i="3"/>
  <c r="AO65" i="3" s="1"/>
  <c r="AL35" i="4"/>
  <c r="AP64" i="3" l="1"/>
  <c r="AP65" i="3" s="1"/>
  <c r="AJ35" i="4"/>
  <c r="AI35" i="4"/>
  <c r="AJ34" i="4"/>
  <c r="AI34" i="4"/>
  <c r="AH35" i="4"/>
  <c r="AG35" i="4"/>
  <c r="AJ37" i="4"/>
  <c r="AI37" i="4"/>
  <c r="AH34" i="4"/>
  <c r="AG34" i="4"/>
  <c r="AJ64" i="3"/>
  <c r="AJ77" i="3"/>
  <c r="AJ78" i="3" s="1"/>
  <c r="AH11" i="4" s="1"/>
  <c r="AI77" i="3"/>
  <c r="AI78" i="3" s="1"/>
  <c r="AG11" i="4" s="1"/>
  <c r="AI64" i="3"/>
  <c r="AJ10" i="4"/>
  <c r="AI10" i="4"/>
  <c r="AK46" i="3"/>
  <c r="AI46" i="3"/>
  <c r="AM10" i="4" l="1"/>
  <c r="AN10" i="4"/>
  <c r="AM11" i="4"/>
  <c r="AN11" i="4"/>
  <c r="AI47" i="3"/>
  <c r="AK47" i="3"/>
  <c r="AI9" i="4" s="1"/>
  <c r="AJ65" i="3"/>
  <c r="AH10" i="4" s="1"/>
  <c r="AI65" i="3"/>
  <c r="AG10" i="4" s="1"/>
  <c r="AJ46" i="3"/>
  <c r="AL46" i="3"/>
  <c r="AG9" i="4"/>
  <c r="AJ47" i="3" l="1"/>
  <c r="AH9" i="4" s="1"/>
  <c r="AL47" i="3"/>
  <c r="AJ9" i="4" s="1"/>
  <c r="X38" i="10"/>
  <c r="W38" i="10"/>
  <c r="V38" i="10"/>
  <c r="U38" i="10"/>
  <c r="T38" i="10"/>
  <c r="S38" i="10"/>
  <c r="F38" i="10"/>
  <c r="G38" i="10"/>
  <c r="H38" i="10"/>
  <c r="I38" i="10"/>
  <c r="K38" i="10"/>
  <c r="L38" i="10"/>
  <c r="M38" i="10"/>
  <c r="N38" i="10"/>
  <c r="O38" i="10"/>
  <c r="P38" i="10"/>
  <c r="E38" i="10"/>
  <c r="E46" i="10" l="1"/>
  <c r="F46" i="10"/>
  <c r="F37" i="10" s="1"/>
  <c r="G46" i="10"/>
  <c r="G37" i="10" s="1"/>
  <c r="L46" i="10" l="1"/>
  <c r="L37" i="10" s="1"/>
  <c r="X77" i="3" l="1"/>
  <c r="E77" i="3"/>
  <c r="F77" i="3"/>
  <c r="I64" i="3"/>
  <c r="I65" i="3" s="1"/>
  <c r="H64" i="3"/>
  <c r="H65" i="3" s="1"/>
  <c r="G64" i="3"/>
  <c r="G65" i="3" s="1"/>
  <c r="F46" i="3"/>
  <c r="F47" i="3" l="1"/>
  <c r="AB77" i="3"/>
  <c r="Y77" i="3"/>
  <c r="W77" i="3"/>
  <c r="AA77" i="3"/>
  <c r="T46" i="3"/>
  <c r="V77" i="3"/>
  <c r="U77" i="3"/>
  <c r="T77" i="3"/>
  <c r="AA46" i="3"/>
  <c r="AB46" i="3"/>
  <c r="Y46" i="3"/>
  <c r="X46" i="3"/>
  <c r="W46" i="3"/>
  <c r="V46" i="3"/>
  <c r="U46" i="3"/>
  <c r="I77" i="3"/>
  <c r="H77" i="3"/>
  <c r="G77" i="3"/>
  <c r="E64" i="3"/>
  <c r="E65" i="3" s="1"/>
  <c r="H46" i="3"/>
  <c r="G46" i="3"/>
  <c r="E46" i="3"/>
  <c r="V47" i="3" l="1"/>
  <c r="G47" i="3"/>
  <c r="W47" i="3"/>
  <c r="AA47" i="3"/>
  <c r="T47" i="3"/>
  <c r="X47" i="3"/>
  <c r="AB47" i="3"/>
  <c r="H47" i="3"/>
  <c r="U47" i="3"/>
  <c r="Y47" i="3"/>
  <c r="K64" i="3"/>
  <c r="K65" i="3" s="1"/>
  <c r="K46" i="3" l="1"/>
  <c r="K47" i="3" l="1"/>
  <c r="D10" i="4"/>
  <c r="E10" i="4"/>
  <c r="F10" i="4"/>
  <c r="G10" i="4"/>
  <c r="H10" i="4"/>
  <c r="I10" i="4"/>
  <c r="M10" i="4"/>
  <c r="AH77" i="3" l="1"/>
  <c r="N64" i="3"/>
  <c r="N65" i="3" l="1"/>
  <c r="L10" i="4" s="1"/>
  <c r="AH78" i="3"/>
  <c r="AF11" i="4" s="1"/>
  <c r="K10" i="4"/>
  <c r="M46" i="3" l="1"/>
  <c r="N46" i="3"/>
  <c r="O46" i="3"/>
  <c r="E47" i="3"/>
  <c r="D9" i="4" s="1"/>
  <c r="E9" i="4"/>
  <c r="F9" i="4"/>
  <c r="G9" i="4"/>
  <c r="H9" i="4"/>
  <c r="I9" i="4"/>
  <c r="AE77" i="3"/>
  <c r="AF77" i="3"/>
  <c r="AF78" i="3" s="1"/>
  <c r="AD11" i="4" s="1"/>
  <c r="E78" i="3"/>
  <c r="D11" i="4" s="1"/>
  <c r="F78" i="3"/>
  <c r="E11" i="4" s="1"/>
  <c r="G78" i="3"/>
  <c r="F11" i="4" s="1"/>
  <c r="H78" i="3"/>
  <c r="G11" i="4" s="1"/>
  <c r="I78" i="3"/>
  <c r="H11" i="4" s="1"/>
  <c r="M78" i="3"/>
  <c r="K11" i="4" s="1"/>
  <c r="N78" i="3"/>
  <c r="L11" i="4" s="1"/>
  <c r="O78" i="3"/>
  <c r="M11" i="4" s="1"/>
  <c r="P78" i="3"/>
  <c r="N11" i="4" s="1"/>
  <c r="Q78" i="3"/>
  <c r="O11" i="4" s="1"/>
  <c r="S78" i="3"/>
  <c r="T78" i="3"/>
  <c r="R11" i="4" s="1"/>
  <c r="U78" i="3"/>
  <c r="S11" i="4" s="1"/>
  <c r="V78" i="3"/>
  <c r="T11" i="4" s="1"/>
  <c r="W78" i="3"/>
  <c r="U11" i="4" s="1"/>
  <c r="X78" i="3"/>
  <c r="V11" i="4" s="1"/>
  <c r="Y78" i="3"/>
  <c r="W11" i="4" s="1"/>
  <c r="AA78" i="3"/>
  <c r="Y11" i="4" s="1"/>
  <c r="AB78" i="3"/>
  <c r="Z11" i="4" s="1"/>
  <c r="T64" i="3"/>
  <c r="T65" i="3" s="1"/>
  <c r="U64" i="3"/>
  <c r="U65" i="3" s="1"/>
  <c r="V64" i="3"/>
  <c r="V65" i="3" s="1"/>
  <c r="W64" i="3"/>
  <c r="W65" i="3" s="1"/>
  <c r="X64" i="3"/>
  <c r="X65" i="3" s="1"/>
  <c r="Y64" i="3"/>
  <c r="Y65" i="3" s="1"/>
  <c r="AA64" i="3"/>
  <c r="AA65" i="3" s="1"/>
  <c r="AB64" i="3"/>
  <c r="AB65" i="3" s="1"/>
  <c r="R9" i="4"/>
  <c r="S9" i="4"/>
  <c r="T9" i="4"/>
  <c r="U9" i="4"/>
  <c r="V9" i="4"/>
  <c r="W9" i="4"/>
  <c r="Y9" i="4"/>
  <c r="Z9" i="4"/>
  <c r="W46" i="10"/>
  <c r="W37" i="10" s="1"/>
  <c r="W27" i="10"/>
  <c r="X16" i="10"/>
  <c r="S46" i="10"/>
  <c r="S37" i="10" s="1"/>
  <c r="T46" i="10"/>
  <c r="T37" i="10" s="1"/>
  <c r="U46" i="10"/>
  <c r="U37" i="10" s="1"/>
  <c r="V46" i="10"/>
  <c r="V37" i="10" s="1"/>
  <c r="Y46" i="10"/>
  <c r="Z46" i="10"/>
  <c r="AA46" i="10"/>
  <c r="Y38" i="10"/>
  <c r="Z38" i="10"/>
  <c r="AA38" i="10"/>
  <c r="S27" i="10"/>
  <c r="S26" i="10" s="1"/>
  <c r="T27" i="10"/>
  <c r="T26" i="10" s="1"/>
  <c r="U27" i="10"/>
  <c r="U26" i="10" s="1"/>
  <c r="V27" i="10"/>
  <c r="V26" i="10" s="1"/>
  <c r="Y27" i="10"/>
  <c r="Y26" i="10" s="1"/>
  <c r="Z27" i="10"/>
  <c r="Z26" i="10" s="1"/>
  <c r="AA27" i="10"/>
  <c r="AA26" i="10" s="1"/>
  <c r="S16" i="10"/>
  <c r="T16" i="10"/>
  <c r="U16" i="10"/>
  <c r="V16" i="10"/>
  <c r="W16" i="10"/>
  <c r="Y16" i="10"/>
  <c r="AA16" i="10"/>
  <c r="S7" i="10"/>
  <c r="T7" i="10"/>
  <c r="U7" i="10"/>
  <c r="V7" i="10"/>
  <c r="Y7" i="10"/>
  <c r="AA7" i="10"/>
  <c r="X46" i="10"/>
  <c r="X37" i="10" s="1"/>
  <c r="E27" i="10"/>
  <c r="E26" i="10" s="1"/>
  <c r="F27" i="10"/>
  <c r="F26" i="10" s="1"/>
  <c r="G27" i="10"/>
  <c r="G26" i="10" s="1"/>
  <c r="H27" i="10"/>
  <c r="H26" i="10" s="1"/>
  <c r="I27" i="10"/>
  <c r="I26" i="10" s="1"/>
  <c r="K27" i="10"/>
  <c r="K26" i="10" s="1"/>
  <c r="L27" i="10"/>
  <c r="L26" i="10" s="1"/>
  <c r="M27" i="10"/>
  <c r="M26" i="10" s="1"/>
  <c r="N27" i="10"/>
  <c r="N26" i="10" s="1"/>
  <c r="P27" i="10"/>
  <c r="P26" i="10" s="1"/>
  <c r="O27" i="10"/>
  <c r="O26" i="10" s="1"/>
  <c r="AD32" i="4"/>
  <c r="AD38" i="4"/>
  <c r="AD39" i="4"/>
  <c r="Y37" i="10" l="1"/>
  <c r="AA37" i="10"/>
  <c r="O47" i="3"/>
  <c r="M9" i="4" s="1"/>
  <c r="N47" i="3"/>
  <c r="L9" i="4" s="1"/>
  <c r="M47" i="3"/>
  <c r="Z37" i="10"/>
  <c r="AD24" i="4"/>
  <c r="AD47" i="4"/>
  <c r="W27" i="16"/>
  <c r="W52" i="16" s="1"/>
  <c r="W26" i="16"/>
  <c r="AD74" i="11"/>
  <c r="AE74" i="11" s="1"/>
  <c r="AE44" i="4"/>
  <c r="AF44" i="4"/>
  <c r="AD59" i="11"/>
  <c r="AE59" i="11" s="1"/>
  <c r="AD36" i="11"/>
  <c r="W10" i="4"/>
  <c r="V10" i="4"/>
  <c r="R10" i="4"/>
  <c r="Z10" i="4"/>
  <c r="U10" i="4"/>
  <c r="S10" i="4"/>
  <c r="Y10" i="4"/>
  <c r="T10" i="4"/>
  <c r="Z24" i="10"/>
  <c r="AA24" i="10"/>
  <c r="Y24" i="10"/>
  <c r="Y54" i="10"/>
  <c r="S54" i="10"/>
  <c r="V24" i="10"/>
  <c r="U54" i="10"/>
  <c r="U24" i="10"/>
  <c r="AA54" i="10"/>
  <c r="V54" i="10"/>
  <c r="Z54" i="10"/>
  <c r="T54" i="10"/>
  <c r="T24" i="10"/>
  <c r="S24" i="10"/>
  <c r="AH64" i="3"/>
  <c r="AF64" i="3"/>
  <c r="AF65" i="3" s="1"/>
  <c r="AE46" i="3"/>
  <c r="AF46" i="3"/>
  <c r="AH46" i="3"/>
  <c r="AE78" i="3"/>
  <c r="AC11" i="4" s="1"/>
  <c r="AG77" i="3"/>
  <c r="AG46" i="3"/>
  <c r="AE64" i="3"/>
  <c r="AE65" i="3" s="1"/>
  <c r="AG64" i="3"/>
  <c r="AG65" i="3" s="1"/>
  <c r="W26" i="10"/>
  <c r="W54" i="10" s="1"/>
  <c r="W7" i="10"/>
  <c r="W24" i="10" s="1"/>
  <c r="X7" i="10"/>
  <c r="X24" i="10" s="1"/>
  <c r="X27" i="10"/>
  <c r="X26" i="10" s="1"/>
  <c r="AF47" i="3" l="1"/>
  <c r="AE47" i="3"/>
  <c r="AG47" i="3"/>
  <c r="AE9" i="4" s="1"/>
  <c r="AH47" i="3"/>
  <c r="AF9" i="4" s="1"/>
  <c r="AH65" i="3"/>
  <c r="AF10" i="4" s="1"/>
  <c r="W28" i="16"/>
  <c r="W30" i="16" s="1"/>
  <c r="W51" i="16"/>
  <c r="W50" i="16" s="1"/>
  <c r="W46" i="16" s="1"/>
  <c r="AE42" i="4"/>
  <c r="AE45" i="4" s="1"/>
  <c r="AE7" i="4" s="1"/>
  <c r="AD76" i="11"/>
  <c r="AD10" i="4"/>
  <c r="AD9" i="4"/>
  <c r="AC9" i="4"/>
  <c r="K9" i="4"/>
  <c r="AG78" i="3"/>
  <c r="AE11" i="4" s="1"/>
  <c r="AE10" i="4"/>
  <c r="AC10" i="4"/>
  <c r="X54" i="10"/>
  <c r="AF32" i="4" l="1"/>
  <c r="AF38" i="4"/>
  <c r="AF39" i="4"/>
  <c r="AH32" i="4"/>
  <c r="AH38" i="4"/>
  <c r="AH39" i="4"/>
  <c r="AF24" i="4" l="1"/>
  <c r="AF47" i="4"/>
  <c r="AH24" i="4"/>
  <c r="AH47" i="4"/>
  <c r="AJ32" i="4"/>
  <c r="AJ38" i="4"/>
  <c r="AJ39" i="4"/>
  <c r="AL32" i="4"/>
  <c r="AL38" i="4"/>
  <c r="AL39" i="4"/>
  <c r="AJ24" i="4" l="1"/>
  <c r="AJ47" i="4"/>
  <c r="AN9" i="3"/>
  <c r="AN14" i="3" s="1"/>
  <c r="AL47" i="4"/>
  <c r="AL24" i="4"/>
  <c r="AN19" i="3"/>
  <c r="AL33" i="4" s="1"/>
  <c r="AN20" i="3" l="1"/>
  <c r="Z32" i="4"/>
  <c r="Z38" i="4"/>
  <c r="W32" i="4"/>
  <c r="W38" i="4"/>
  <c r="U24" i="4" l="1"/>
  <c r="U47" i="4"/>
  <c r="W24" i="4"/>
  <c r="W47" i="4"/>
  <c r="Z47" i="4"/>
  <c r="U32" i="4"/>
  <c r="T32" i="4"/>
  <c r="U38" i="4"/>
  <c r="T38" i="4"/>
  <c r="H46" i="10"/>
  <c r="H37" i="10" s="1"/>
  <c r="I46" i="10"/>
  <c r="I37" i="10" s="1"/>
  <c r="K46" i="10"/>
  <c r="K37" i="10" s="1"/>
  <c r="M46" i="10"/>
  <c r="M37" i="10" s="1"/>
  <c r="N46" i="10"/>
  <c r="E16" i="10"/>
  <c r="F16" i="10"/>
  <c r="G16" i="10"/>
  <c r="H16" i="10"/>
  <c r="I16" i="10"/>
  <c r="L16" i="10"/>
  <c r="M16" i="10"/>
  <c r="N16" i="10"/>
  <c r="E7" i="10"/>
  <c r="F7" i="10"/>
  <c r="G7" i="10"/>
  <c r="H7" i="10"/>
  <c r="I7" i="10"/>
  <c r="K7" i="10"/>
  <c r="L7" i="10"/>
  <c r="M7" i="10"/>
  <c r="N7" i="10"/>
  <c r="P64" i="3"/>
  <c r="P65" i="3" s="1"/>
  <c r="Q64" i="3"/>
  <c r="Q65" i="3" s="1"/>
  <c r="P46" i="3"/>
  <c r="Q46" i="3"/>
  <c r="P47" i="3" l="1"/>
  <c r="Q47" i="3"/>
  <c r="O9" i="4" s="1"/>
  <c r="N54" i="10"/>
  <c r="N37" i="10"/>
  <c r="E24" i="10"/>
  <c r="F24" i="10"/>
  <c r="G24" i="10"/>
  <c r="H24" i="10"/>
  <c r="I24" i="10"/>
  <c r="F54" i="10"/>
  <c r="I54" i="10"/>
  <c r="E54" i="10"/>
  <c r="E37" i="10"/>
  <c r="H54" i="10"/>
  <c r="G54" i="10"/>
  <c r="K54" i="10"/>
  <c r="K24" i="10"/>
  <c r="L54" i="10"/>
  <c r="L24" i="10"/>
  <c r="M54" i="10"/>
  <c r="M24" i="10"/>
  <c r="N24" i="10"/>
  <c r="N9" i="4"/>
  <c r="N10" i="4"/>
  <c r="O10" i="4"/>
  <c r="P7" i="10"/>
  <c r="P16" i="10"/>
  <c r="O16" i="10"/>
  <c r="O7" i="10"/>
  <c r="O46" i="10"/>
  <c r="O37" i="10" s="1"/>
  <c r="P46" i="10"/>
  <c r="P37" i="10" s="1"/>
  <c r="P54" i="10" l="1"/>
  <c r="O54" i="10"/>
  <c r="P24" i="10"/>
  <c r="O24" i="10"/>
  <c r="V19" i="3" l="1"/>
  <c r="T33" i="4" s="1"/>
  <c r="W19" i="3"/>
  <c r="U33" i="4" s="1"/>
  <c r="X19" i="3"/>
  <c r="V33" i="4" s="1"/>
  <c r="Y19" i="3"/>
  <c r="W33" i="4" s="1"/>
  <c r="AA19" i="3"/>
  <c r="Y33" i="4" s="1"/>
  <c r="AB19" i="3"/>
  <c r="Z33" i="4" s="1"/>
  <c r="AE19" i="3"/>
  <c r="AC33" i="4" s="1"/>
  <c r="AF19" i="3"/>
  <c r="AD33" i="4" s="1"/>
  <c r="AG19" i="3"/>
  <c r="AE33" i="4" s="1"/>
  <c r="AH19" i="3"/>
  <c r="AI19" i="3"/>
  <c r="AG33" i="4" s="1"/>
  <c r="AJ19" i="3"/>
  <c r="AH33" i="4" s="1"/>
  <c r="AK19" i="3"/>
  <c r="AI33" i="4" s="1"/>
  <c r="AL19" i="3"/>
  <c r="AM19" i="3"/>
  <c r="AK33" i="4" s="1"/>
  <c r="V9" i="3"/>
  <c r="V14" i="3" s="1"/>
  <c r="W9" i="3"/>
  <c r="W14" i="3" s="1"/>
  <c r="X9" i="3"/>
  <c r="X14" i="3" s="1"/>
  <c r="Y9" i="3"/>
  <c r="Y14" i="3" s="1"/>
  <c r="AA9" i="3"/>
  <c r="AA14" i="3" s="1"/>
  <c r="AB9" i="3"/>
  <c r="AB14" i="3" s="1"/>
  <c r="AE9" i="3"/>
  <c r="AE14" i="3" s="1"/>
  <c r="AF9" i="3"/>
  <c r="AF14" i="3" s="1"/>
  <c r="AG9" i="3"/>
  <c r="AG14" i="3" s="1"/>
  <c r="AH9" i="3"/>
  <c r="AH14" i="3" s="1"/>
  <c r="AI9" i="3"/>
  <c r="AI14" i="3" s="1"/>
  <c r="AJ9" i="3"/>
  <c r="AJ14" i="3" s="1"/>
  <c r="AK9" i="3"/>
  <c r="AK14" i="3" s="1"/>
  <c r="AL9" i="3"/>
  <c r="AL14" i="3" s="1"/>
  <c r="AM9" i="3"/>
  <c r="AM14" i="3" s="1"/>
  <c r="M19" i="3"/>
  <c r="K33" i="4" s="1"/>
  <c r="N19" i="3"/>
  <c r="L33" i="4" s="1"/>
  <c r="O19" i="3"/>
  <c r="M33" i="4" s="1"/>
  <c r="P19" i="3"/>
  <c r="N33" i="4" s="1"/>
  <c r="Q19" i="3"/>
  <c r="O33" i="4" s="1"/>
  <c r="M9" i="3"/>
  <c r="M14" i="3" s="1"/>
  <c r="N9" i="3"/>
  <c r="N14" i="3" s="1"/>
  <c r="O9" i="3"/>
  <c r="O14" i="3" s="1"/>
  <c r="P9" i="3"/>
  <c r="P14" i="3" s="1"/>
  <c r="Q9" i="3"/>
  <c r="Q14" i="3" s="1"/>
  <c r="F19" i="3"/>
  <c r="E33" i="4" s="1"/>
  <c r="G19" i="3"/>
  <c r="F33" i="4" s="1"/>
  <c r="H19" i="3"/>
  <c r="G33" i="4" s="1"/>
  <c r="I19" i="3"/>
  <c r="H33" i="4" s="1"/>
  <c r="K19" i="3"/>
  <c r="I33" i="4" s="1"/>
  <c r="E19" i="3"/>
  <c r="D33" i="4" s="1"/>
  <c r="F9" i="3"/>
  <c r="F14" i="3" s="1"/>
  <c r="G9" i="3"/>
  <c r="G14" i="3" s="1"/>
  <c r="H9" i="3"/>
  <c r="H14" i="3" s="1"/>
  <c r="I9" i="3"/>
  <c r="E9" i="3"/>
  <c r="E14" i="3" s="1"/>
  <c r="AK20" i="3" l="1"/>
  <c r="AG20" i="3"/>
  <c r="AG22" i="3" s="1"/>
  <c r="AM20" i="3"/>
  <c r="AI20" i="3"/>
  <c r="AI22" i="3" s="1"/>
  <c r="AE20" i="3"/>
  <c r="AE22" i="3" s="1"/>
  <c r="AJ20" i="3"/>
  <c r="AJ22" i="3" s="1"/>
  <c r="AF20" i="3"/>
  <c r="Y20" i="3"/>
  <c r="Y22" i="3" s="1"/>
  <c r="X20" i="3"/>
  <c r="X22" i="3" s="1"/>
  <c r="V20" i="3"/>
  <c r="V22" i="3" s="1"/>
  <c r="AL20" i="3"/>
  <c r="AL22" i="3" s="1"/>
  <c r="AH20" i="3"/>
  <c r="AB20" i="3"/>
  <c r="AB22" i="3" s="1"/>
  <c r="Z30" i="4" s="1"/>
  <c r="Z40" i="4" s="1"/>
  <c r="W20" i="3"/>
  <c r="W22" i="3" s="1"/>
  <c r="AF33" i="4"/>
  <c r="AA20" i="3"/>
  <c r="AA22" i="3" s="1"/>
  <c r="E22" i="3"/>
  <c r="D30" i="4" s="1"/>
  <c r="AJ33" i="4"/>
  <c r="F22" i="3"/>
  <c r="E30" i="4" s="1"/>
  <c r="S38" i="4"/>
  <c r="R38" i="4"/>
  <c r="R24" i="4"/>
  <c r="R47" i="4"/>
  <c r="S32" i="4"/>
  <c r="R32" i="4"/>
  <c r="E28" i="11"/>
  <c r="E33" i="11" s="1"/>
  <c r="E36" i="11" s="1"/>
  <c r="D51" i="16" s="1"/>
  <c r="AF22" i="3"/>
  <c r="AH22" i="3"/>
  <c r="AK22" i="3"/>
  <c r="P22" i="3"/>
  <c r="N30" i="4" s="1"/>
  <c r="Q22" i="3"/>
  <c r="O30" i="4" s="1"/>
  <c r="T19" i="3"/>
  <c r="R33" i="4" s="1"/>
  <c r="T9" i="3"/>
  <c r="T14" i="3" s="1"/>
  <c r="U19" i="3"/>
  <c r="S33" i="4" s="1"/>
  <c r="T20" i="3" l="1"/>
  <c r="T22" i="3" s="1"/>
  <c r="F28" i="11"/>
  <c r="F33" i="11" s="1"/>
  <c r="F36" i="11" s="1"/>
  <c r="E51" i="16" s="1"/>
  <c r="AF30" i="4"/>
  <c r="AF40" i="4" s="1"/>
  <c r="W30" i="4"/>
  <c r="W40" i="4" s="1"/>
  <c r="AI30" i="4"/>
  <c r="AI40" i="4" s="1"/>
  <c r="AG30" i="4"/>
  <c r="AG40" i="4" s="1"/>
  <c r="AC30" i="4"/>
  <c r="AC40" i="4" s="1"/>
  <c r="Y30" i="4"/>
  <c r="Y40" i="4" s="1"/>
  <c r="AJ30" i="4"/>
  <c r="AJ40" i="4" s="1"/>
  <c r="AH30" i="4"/>
  <c r="AH40" i="4" s="1"/>
  <c r="AD30" i="4"/>
  <c r="AD40" i="4" s="1"/>
  <c r="Z48" i="4"/>
  <c r="Z49" i="4" s="1"/>
  <c r="Z6" i="4"/>
  <c r="AE30" i="4"/>
  <c r="AE40" i="4" s="1"/>
  <c r="V30" i="4"/>
  <c r="V40" i="4" s="1"/>
  <c r="D55" i="16"/>
  <c r="D54" i="16" s="1"/>
  <c r="D47" i="16" s="1"/>
  <c r="D50" i="16"/>
  <c r="D46" i="16" s="1"/>
  <c r="S24" i="4"/>
  <c r="S47" i="4"/>
  <c r="U9" i="3"/>
  <c r="U14" i="3" s="1"/>
  <c r="T30" i="4"/>
  <c r="T40" i="4" s="1"/>
  <c r="U30" i="4"/>
  <c r="U40" i="4" s="1"/>
  <c r="N40" i="4"/>
  <c r="E40" i="4"/>
  <c r="D40" i="4"/>
  <c r="O40" i="4"/>
  <c r="D42" i="4"/>
  <c r="D45" i="4" s="1"/>
  <c r="D7" i="4" s="1"/>
  <c r="E76" i="11"/>
  <c r="E79" i="11" s="1"/>
  <c r="O22" i="3"/>
  <c r="N28" i="11"/>
  <c r="N33" i="11" s="1"/>
  <c r="H22" i="3"/>
  <c r="H28" i="11"/>
  <c r="H33" i="11" s="1"/>
  <c r="M22" i="3"/>
  <c r="L28" i="11"/>
  <c r="L33" i="11" s="1"/>
  <c r="I28" i="11"/>
  <c r="I33" i="11" s="1"/>
  <c r="N22" i="3"/>
  <c r="M28" i="11"/>
  <c r="M33" i="11" s="1"/>
  <c r="G22" i="3"/>
  <c r="AM22" i="3"/>
  <c r="AN22" i="3"/>
  <c r="AL30" i="4" s="1"/>
  <c r="K9" i="3"/>
  <c r="F76" i="11" l="1"/>
  <c r="F79" i="11" s="1"/>
  <c r="U20" i="3"/>
  <c r="U22" i="3" s="1"/>
  <c r="S30" i="4" s="1"/>
  <c r="S40" i="4" s="1"/>
  <c r="S20" i="16" s="1"/>
  <c r="S45" i="16" s="1"/>
  <c r="E42" i="4"/>
  <c r="E45" i="4" s="1"/>
  <c r="E7" i="4" s="1"/>
  <c r="V6" i="4"/>
  <c r="V48" i="4"/>
  <c r="V49" i="4" s="1"/>
  <c r="AH48" i="4"/>
  <c r="AH49" i="4" s="1"/>
  <c r="AH6" i="4"/>
  <c r="Y6" i="4"/>
  <c r="Y48" i="4"/>
  <c r="Y49" i="4" s="1"/>
  <c r="AG6" i="4"/>
  <c r="AG48" i="4"/>
  <c r="AG49" i="4" s="1"/>
  <c r="X20" i="16"/>
  <c r="W48" i="4"/>
  <c r="W49" i="4" s="1"/>
  <c r="W6" i="4"/>
  <c r="AE6" i="4"/>
  <c r="AE48" i="4"/>
  <c r="AE49" i="4" s="1"/>
  <c r="W20" i="16"/>
  <c r="AD48" i="4"/>
  <c r="AD49" i="4" s="1"/>
  <c r="AD6" i="4"/>
  <c r="AJ48" i="4"/>
  <c r="AJ49" i="4" s="1"/>
  <c r="AJ6" i="4"/>
  <c r="AC6" i="4"/>
  <c r="V20" i="16"/>
  <c r="AC48" i="4"/>
  <c r="AC49" i="4" s="1"/>
  <c r="AI48" i="4"/>
  <c r="AI49" i="4" s="1"/>
  <c r="Y20" i="16"/>
  <c r="AI6" i="4"/>
  <c r="AF48" i="4"/>
  <c r="AF49" i="4" s="1"/>
  <c r="AF6" i="4"/>
  <c r="AK30" i="4"/>
  <c r="H36" i="11"/>
  <c r="H76" i="11" s="1"/>
  <c r="H79" i="11" s="1"/>
  <c r="E55" i="16"/>
  <c r="E54" i="16" s="1"/>
  <c r="E47" i="16" s="1"/>
  <c r="E50" i="16"/>
  <c r="E46" i="16" s="1"/>
  <c r="M36" i="11"/>
  <c r="M76" i="11" s="1"/>
  <c r="L36" i="11"/>
  <c r="L76" i="11" s="1"/>
  <c r="R30" i="4"/>
  <c r="R40" i="4" s="1"/>
  <c r="I36" i="11"/>
  <c r="I76" i="11" s="1"/>
  <c r="I79" i="11" s="1"/>
  <c r="T6" i="4"/>
  <c r="T48" i="4"/>
  <c r="T49" i="4" s="1"/>
  <c r="T20" i="16"/>
  <c r="T45" i="16" s="1"/>
  <c r="U48" i="4"/>
  <c r="U49" i="4" s="1"/>
  <c r="U6" i="4"/>
  <c r="N36" i="11"/>
  <c r="O20" i="16"/>
  <c r="O45" i="16" s="1"/>
  <c r="O6" i="4"/>
  <c r="O48" i="4"/>
  <c r="O49" i="4" s="1"/>
  <c r="D48" i="4"/>
  <c r="D49" i="4" s="1"/>
  <c r="D6" i="4"/>
  <c r="E20" i="16"/>
  <c r="E45" i="16" s="1"/>
  <c r="E6" i="4"/>
  <c r="E48" i="4"/>
  <c r="E49" i="4" s="1"/>
  <c r="N20" i="16"/>
  <c r="N45" i="16" s="1"/>
  <c r="N6" i="4"/>
  <c r="N48" i="4"/>
  <c r="N49" i="4" s="1"/>
  <c r="D20" i="16"/>
  <c r="D45" i="16" s="1"/>
  <c r="G28" i="11"/>
  <c r="G33" i="11" s="1"/>
  <c r="K14" i="3"/>
  <c r="F30" i="4"/>
  <c r="H30" i="4"/>
  <c r="M30" i="4"/>
  <c r="L30" i="4"/>
  <c r="K30" i="4"/>
  <c r="G30" i="4"/>
  <c r="V45" i="16" l="1"/>
  <c r="V22" i="16"/>
  <c r="V21" i="16"/>
  <c r="G36" i="11"/>
  <c r="G76" i="11" s="1"/>
  <c r="Y45" i="16"/>
  <c r="Y22" i="16"/>
  <c r="Y21" i="16"/>
  <c r="X45" i="16"/>
  <c r="X21" i="16"/>
  <c r="X22" i="16"/>
  <c r="W22" i="16"/>
  <c r="W21" i="16"/>
  <c r="W45" i="16"/>
  <c r="G51" i="16"/>
  <c r="V36" i="11"/>
  <c r="G42" i="4"/>
  <c r="G45" i="4" s="1"/>
  <c r="G7" i="4" s="1"/>
  <c r="L79" i="11"/>
  <c r="AC76" i="11"/>
  <c r="K51" i="16"/>
  <c r="K42" i="4"/>
  <c r="K45" i="4" s="1"/>
  <c r="K7" i="4" s="1"/>
  <c r="AC36" i="11"/>
  <c r="AD42" i="4" s="1"/>
  <c r="AD45" i="4" s="1"/>
  <c r="AD7" i="4" s="1"/>
  <c r="M79" i="11"/>
  <c r="AE76" i="11"/>
  <c r="L51" i="16"/>
  <c r="L42" i="4"/>
  <c r="L45" i="4" s="1"/>
  <c r="L7" i="4" s="1"/>
  <c r="AE36" i="11"/>
  <c r="AF42" i="4" s="1"/>
  <c r="AF45" i="4" s="1"/>
  <c r="AF7" i="4" s="1"/>
  <c r="R48" i="4"/>
  <c r="R49" i="4" s="1"/>
  <c r="R6" i="4"/>
  <c r="S22" i="16"/>
  <c r="S21" i="16"/>
  <c r="T22" i="16"/>
  <c r="T21" i="16"/>
  <c r="S6" i="4"/>
  <c r="S48" i="4"/>
  <c r="S49" i="4" s="1"/>
  <c r="H51" i="16"/>
  <c r="H42" i="4"/>
  <c r="H45" i="4" s="1"/>
  <c r="H7" i="4" s="1"/>
  <c r="X36" i="11"/>
  <c r="N76" i="11"/>
  <c r="N79" i="11" s="1"/>
  <c r="M51" i="16"/>
  <c r="M42" i="4"/>
  <c r="M45" i="4" s="1"/>
  <c r="M7" i="4" s="1"/>
  <c r="AG36" i="11"/>
  <c r="E22" i="16"/>
  <c r="E21" i="16"/>
  <c r="N22" i="16"/>
  <c r="N21" i="16"/>
  <c r="O22" i="16"/>
  <c r="O21" i="16"/>
  <c r="D21" i="16"/>
  <c r="D22" i="16"/>
  <c r="K40" i="4"/>
  <c r="H40" i="4"/>
  <c r="L40" i="4"/>
  <c r="M40" i="4"/>
  <c r="G40" i="4"/>
  <c r="F40" i="4"/>
  <c r="K22" i="3"/>
  <c r="I30" i="4" s="1"/>
  <c r="K28" i="11"/>
  <c r="K33" i="11" s="1"/>
  <c r="F51" i="16" l="1"/>
  <c r="F42" i="4"/>
  <c r="F45" i="4" s="1"/>
  <c r="F7" i="4" s="1"/>
  <c r="T36" i="11"/>
  <c r="S42" i="4" s="1"/>
  <c r="S45" i="4" s="1"/>
  <c r="S7" i="4" s="1"/>
  <c r="K36" i="11"/>
  <c r="K76" i="11" s="1"/>
  <c r="G79" i="11"/>
  <c r="T76" i="11"/>
  <c r="T79" i="11" s="1"/>
  <c r="U77" i="11" s="1"/>
  <c r="U79" i="11" s="1"/>
  <c r="V77" i="11" s="1"/>
  <c r="U42" i="4"/>
  <c r="U45" i="4" s="1"/>
  <c r="U7" i="4" s="1"/>
  <c r="V76" i="11"/>
  <c r="G55" i="16"/>
  <c r="G54" i="16" s="1"/>
  <c r="G47" i="16" s="1"/>
  <c r="G50" i="16"/>
  <c r="G46" i="16" s="1"/>
  <c r="L55" i="16"/>
  <c r="L54" i="16" s="1"/>
  <c r="L47" i="16" s="1"/>
  <c r="L50" i="16"/>
  <c r="L46" i="16" s="1"/>
  <c r="K55" i="16"/>
  <c r="K54" i="16" s="1"/>
  <c r="K47" i="16" s="1"/>
  <c r="K50" i="16"/>
  <c r="K46" i="16" s="1"/>
  <c r="H55" i="16"/>
  <c r="H54" i="16" s="1"/>
  <c r="H47" i="16" s="1"/>
  <c r="H50" i="16"/>
  <c r="H46" i="16" s="1"/>
  <c r="W42" i="4"/>
  <c r="W45" i="4" s="1"/>
  <c r="W7" i="4" s="1"/>
  <c r="X76" i="11"/>
  <c r="AH42" i="4"/>
  <c r="AH45" i="4" s="1"/>
  <c r="AH7" i="4" s="1"/>
  <c r="AG76" i="11"/>
  <c r="M55" i="16"/>
  <c r="M54" i="16" s="1"/>
  <c r="M47" i="16" s="1"/>
  <c r="M50" i="16"/>
  <c r="M46" i="16" s="1"/>
  <c r="K20" i="16"/>
  <c r="K45" i="16" s="1"/>
  <c r="K6" i="4"/>
  <c r="K48" i="4"/>
  <c r="K49" i="4" s="1"/>
  <c r="M20" i="16"/>
  <c r="M45" i="16" s="1"/>
  <c r="M6" i="4"/>
  <c r="M48" i="4"/>
  <c r="M49" i="4" s="1"/>
  <c r="G20" i="16"/>
  <c r="G45" i="16" s="1"/>
  <c r="G6" i="4"/>
  <c r="G48" i="4"/>
  <c r="G49" i="4" s="1"/>
  <c r="L20" i="16"/>
  <c r="L45" i="16" s="1"/>
  <c r="L6" i="4"/>
  <c r="L48" i="4"/>
  <c r="L49" i="4" s="1"/>
  <c r="F20" i="16"/>
  <c r="F45" i="16" s="1"/>
  <c r="F6" i="4"/>
  <c r="F48" i="4"/>
  <c r="F49" i="4" s="1"/>
  <c r="H20" i="16"/>
  <c r="H45" i="16" s="1"/>
  <c r="H6" i="4"/>
  <c r="H48" i="4"/>
  <c r="H49" i="4" s="1"/>
  <c r="I40" i="4"/>
  <c r="J13" i="12"/>
  <c r="I17" i="12"/>
  <c r="J16" i="12"/>
  <c r="I11" i="12"/>
  <c r="J10" i="12"/>
  <c r="J8" i="12"/>
  <c r="J51" i="16" l="1"/>
  <c r="I42" i="4"/>
  <c r="I45" i="4" s="1"/>
  <c r="I7" i="4" s="1"/>
  <c r="AA36" i="11"/>
  <c r="Z42" i="4" s="1"/>
  <c r="Z45" i="4" s="1"/>
  <c r="Z7" i="4" s="1"/>
  <c r="F55" i="16"/>
  <c r="F54" i="16" s="1"/>
  <c r="F47" i="16" s="1"/>
  <c r="F50" i="16"/>
  <c r="F46" i="16" s="1"/>
  <c r="V79" i="11"/>
  <c r="W77" i="11" s="1"/>
  <c r="W79" i="11" s="1"/>
  <c r="X77" i="11" s="1"/>
  <c r="X79" i="11" s="1"/>
  <c r="I19" i="12"/>
  <c r="K79" i="11"/>
  <c r="AA76" i="11"/>
  <c r="AA79" i="11" s="1"/>
  <c r="AB77" i="11" s="1"/>
  <c r="AB79" i="11" s="1"/>
  <c r="AC77" i="11" s="1"/>
  <c r="AC79" i="11" s="1"/>
  <c r="AD77" i="11" s="1"/>
  <c r="AD79" i="11" s="1"/>
  <c r="AE77" i="11" s="1"/>
  <c r="AE79" i="11" s="1"/>
  <c r="AF77" i="11" s="1"/>
  <c r="AF79" i="11" s="1"/>
  <c r="AG77" i="11" s="1"/>
  <c r="AG79" i="11" s="1"/>
  <c r="AH77" i="11" s="1"/>
  <c r="AH79" i="11" s="1"/>
  <c r="AI77" i="11" s="1"/>
  <c r="AI79" i="11" s="1"/>
  <c r="AJ77" i="11" s="1"/>
  <c r="AJ79" i="11" s="1"/>
  <c r="M22" i="16"/>
  <c r="M21" i="16"/>
  <c r="G22" i="16"/>
  <c r="G21" i="16"/>
  <c r="J20" i="16"/>
  <c r="J45" i="16" s="1"/>
  <c r="I6" i="4"/>
  <c r="I48" i="4"/>
  <c r="I49" i="4" s="1"/>
  <c r="L21" i="16"/>
  <c r="L22" i="16"/>
  <c r="H22" i="16"/>
  <c r="H21" i="16"/>
  <c r="F22" i="16"/>
  <c r="F21" i="16"/>
  <c r="K22" i="16"/>
  <c r="K21" i="16"/>
  <c r="I16" i="6"/>
  <c r="I17" i="6"/>
  <c r="I18" i="6"/>
  <c r="I19" i="6"/>
  <c r="I15" i="6"/>
  <c r="AK77" i="11" l="1"/>
  <c r="AK79" i="11" s="1"/>
  <c r="AL77" i="11" s="1"/>
  <c r="AL79" i="11" s="1"/>
  <c r="AM77" i="11" s="1"/>
  <c r="AM79" i="11" s="1"/>
  <c r="AN77" i="11" s="1"/>
  <c r="AN79" i="11" s="1"/>
  <c r="J55" i="16"/>
  <c r="J54" i="16" s="1"/>
  <c r="J47" i="16" s="1"/>
  <c r="J50" i="16"/>
  <c r="J46" i="16" s="1"/>
  <c r="J22" i="16"/>
  <c r="J21" i="16"/>
  <c r="K17" i="12" l="1"/>
  <c r="G11" i="12"/>
  <c r="H11" i="12" s="1"/>
  <c r="K11" i="12"/>
  <c r="K19" i="12" s="1"/>
  <c r="F11" i="12"/>
  <c r="O17" i="12"/>
  <c r="N17" i="12"/>
  <c r="M17" i="12"/>
  <c r="L17" i="12"/>
  <c r="J17" i="12"/>
  <c r="G17" i="12"/>
  <c r="H17" i="12" s="1"/>
  <c r="F17" i="12"/>
  <c r="O11" i="12"/>
  <c r="O19" i="12" s="1"/>
  <c r="N11" i="12"/>
  <c r="M11" i="12"/>
  <c r="L11" i="12"/>
  <c r="J11" i="12"/>
  <c r="N19" i="12" l="1"/>
  <c r="M19" i="12"/>
  <c r="F19" i="12"/>
  <c r="L19" i="12"/>
  <c r="J19" i="12"/>
  <c r="G19" i="12"/>
  <c r="H19" i="12" s="1"/>
  <c r="G20" i="6"/>
  <c r="E20" i="6"/>
  <c r="F17" i="6" s="1"/>
  <c r="H17" i="6" l="1"/>
  <c r="I20" i="6"/>
  <c r="F20" i="6"/>
  <c r="F15" i="6"/>
  <c r="F16" i="6"/>
  <c r="F19" i="6"/>
  <c r="F18" i="6"/>
  <c r="H20" i="6"/>
  <c r="H18" i="6"/>
  <c r="H19" i="6"/>
  <c r="J18" i="6" l="1"/>
  <c r="J19" i="6"/>
  <c r="J16" i="6"/>
  <c r="J20" i="6"/>
  <c r="J17" i="6"/>
  <c r="J15" i="6"/>
  <c r="F145" i="17" l="1"/>
  <c r="F127" i="17"/>
  <c r="F105" i="17"/>
  <c r="F55" i="17"/>
  <c r="F52" i="17"/>
  <c r="F27" i="17"/>
  <c r="AB35" i="4" l="1"/>
  <c r="AA35" i="4"/>
  <c r="AA38" i="4"/>
  <c r="AA33" i="4"/>
  <c r="AA32" i="4"/>
  <c r="AA11" i="4" l="1"/>
  <c r="AA34" i="4"/>
  <c r="AB34" i="4"/>
  <c r="AA10" i="4" l="1"/>
  <c r="AB10" i="4"/>
  <c r="AA47" i="4"/>
  <c r="AC9" i="3"/>
  <c r="AC14" i="3" s="1"/>
  <c r="AC20" i="3" s="1"/>
  <c r="AC22" i="3" s="1"/>
  <c r="AD47" i="3" l="1"/>
  <c r="AB9" i="4" s="1"/>
  <c r="AC47" i="3"/>
  <c r="AA9" i="4" s="1"/>
  <c r="AA30" i="4"/>
  <c r="AA40" i="4" s="1"/>
  <c r="AA48" i="4" l="1"/>
  <c r="AA49" i="4" s="1"/>
  <c r="AA6" i="4"/>
  <c r="AB38" i="4"/>
  <c r="J38" i="4"/>
  <c r="J47" i="4"/>
  <c r="J24" i="4"/>
  <c r="AB47" i="4" l="1"/>
  <c r="AB11" i="4"/>
  <c r="AD9" i="3" l="1"/>
  <c r="AD14" i="3" s="1"/>
  <c r="AD20" i="3" l="1"/>
  <c r="AD22" i="3" s="1"/>
  <c r="J33" i="4" l="1"/>
  <c r="AB33" i="4"/>
  <c r="AB32" i="4" l="1"/>
  <c r="J32" i="4"/>
  <c r="J30" i="4"/>
  <c r="J40" i="4" l="1"/>
  <c r="J6" i="4" s="1"/>
  <c r="AB30" i="4"/>
  <c r="AB40" i="4" s="1"/>
  <c r="J48" i="4" l="1"/>
  <c r="J49" i="4" s="1"/>
  <c r="AB6" i="4"/>
  <c r="AB48" i="4"/>
  <c r="AB49" i="4" s="1"/>
  <c r="J27" i="4" l="1"/>
  <c r="AN64" i="3" l="1"/>
  <c r="AN65" i="3" s="1"/>
  <c r="AM64" i="3"/>
  <c r="AM65" i="3" s="1"/>
  <c r="AN77" i="3"/>
  <c r="AN78" i="3" s="1"/>
  <c r="AM78" i="3" l="1"/>
  <c r="AK11" i="4" s="1"/>
  <c r="AK10" i="4"/>
  <c r="AL11" i="4"/>
  <c r="AL10" i="4"/>
  <c r="AK34" i="4"/>
  <c r="AK40" i="4" s="1"/>
  <c r="AM46" i="3"/>
  <c r="AM47" i="3" l="1"/>
  <c r="AK9" i="4" s="1"/>
  <c r="Z20" i="16"/>
  <c r="AK48" i="4"/>
  <c r="AK49" i="4" s="1"/>
  <c r="AK6" i="4"/>
  <c r="AL34" i="4"/>
  <c r="AL40" i="4" s="1"/>
  <c r="AN46" i="3"/>
  <c r="AN47" i="3" l="1"/>
  <c r="AL9" i="4" s="1"/>
  <c r="AL6" i="4"/>
  <c r="AL48" i="4"/>
  <c r="AL49" i="4" s="1"/>
  <c r="Z22" i="16"/>
  <c r="Z45" i="16"/>
  <c r="Z21" i="16"/>
  <c r="AM30" i="4" l="1"/>
  <c r="AM40" i="4" s="1"/>
  <c r="AA20" i="16" s="1"/>
  <c r="AA21" i="16" s="1"/>
  <c r="AA22" i="16" l="1"/>
  <c r="AA45" i="16"/>
  <c r="AM48" i="4"/>
  <c r="AM49" i="4" s="1"/>
  <c r="AM6" i="4"/>
</calcChain>
</file>

<file path=xl/sharedStrings.xml><?xml version="1.0" encoding="utf-8"?>
<sst xmlns="http://schemas.openxmlformats.org/spreadsheetml/2006/main" count="3165" uniqueCount="806">
  <si>
    <t>Revenue</t>
  </si>
  <si>
    <t>Cost of sales</t>
  </si>
  <si>
    <t xml:space="preserve">Gross profit </t>
  </si>
  <si>
    <t>Administrative, selling and marketing expenses</t>
  </si>
  <si>
    <t>Share of profit/(loss) of joint ventures accounted for using the equity method</t>
  </si>
  <si>
    <t>Other gains/(losses) - net</t>
  </si>
  <si>
    <t>Operating profit</t>
  </si>
  <si>
    <t>Change in fair value of derivative</t>
  </si>
  <si>
    <t>Net foreign exchange losses on financial activities</t>
  </si>
  <si>
    <t>Finance income/(costs) - net</t>
  </si>
  <si>
    <t>Profit before income tax</t>
  </si>
  <si>
    <t>Income tax expense</t>
  </si>
  <si>
    <t>Profit for the year</t>
  </si>
  <si>
    <t>Attributable to:</t>
  </si>
  <si>
    <t>Owners of the parent</t>
  </si>
  <si>
    <t>Non-controlling interest</t>
  </si>
  <si>
    <t xml:space="preserve">Basic and diluted earnings per share for profit attributable to the owners of the parent of the Company during the year </t>
  </si>
  <si>
    <t>CONSOLIDATED BALANCE SHEET</t>
  </si>
  <si>
    <t>CONSOLIDATED STATEMENT OF CASH FLOWS</t>
  </si>
  <si>
    <t>Non-current assets</t>
  </si>
  <si>
    <t>Property, plant and equipment</t>
  </si>
  <si>
    <t>Intangible assets</t>
  </si>
  <si>
    <t>Investments in joint ventures</t>
  </si>
  <si>
    <t>Prepayments for property, plant and equipment</t>
  </si>
  <si>
    <t>Deferred tax assets</t>
  </si>
  <si>
    <t>Derivative financial instruments</t>
  </si>
  <si>
    <t>Trade and other receivables</t>
  </si>
  <si>
    <t>Current assets</t>
  </si>
  <si>
    <t>Inventories</t>
  </si>
  <si>
    <t>Income tax receivable</t>
  </si>
  <si>
    <t>Cash and cash equivalents</t>
  </si>
  <si>
    <t>Assets classified as held for sale</t>
  </si>
  <si>
    <t>TOTAL ASSETS</t>
  </si>
  <si>
    <t>Total equity</t>
  </si>
  <si>
    <t>Equity attributable to the owners of the parent</t>
  </si>
  <si>
    <t>Share capital</t>
  </si>
  <si>
    <t>Share premium</t>
  </si>
  <si>
    <t>Capital contribution</t>
  </si>
  <si>
    <t>Translation reserve</t>
  </si>
  <si>
    <t>Transactions with non-controlling interest</t>
  </si>
  <si>
    <t>Retained earnings</t>
  </si>
  <si>
    <t xml:space="preserve">Total liabilities </t>
  </si>
  <si>
    <t>Non-current liabilities</t>
  </si>
  <si>
    <t>Borrowings</t>
  </si>
  <si>
    <t>Trade and other payables</t>
  </si>
  <si>
    <t>Deferred tax liabilities</t>
  </si>
  <si>
    <t>Current liabilities</t>
  </si>
  <si>
    <t>Current income tax liabilities</t>
  </si>
  <si>
    <t>Liabilities directly associated with assets classified as held for sale</t>
  </si>
  <si>
    <t>TOTAL EQUITY AND LIABILITIES</t>
  </si>
  <si>
    <t>Cash flows from operating activities</t>
  </si>
  <si>
    <t>Adjustments for:</t>
  </si>
  <si>
    <t xml:space="preserve">Depreciation of property, plant and equipment </t>
  </si>
  <si>
    <t xml:space="preserve">Impairment of property, plant and equipment </t>
  </si>
  <si>
    <t>Loss on disposal of subsidiaries</t>
  </si>
  <si>
    <t xml:space="preserve">Profit/(loss) on sale of property, plant and equipment </t>
  </si>
  <si>
    <t>Amortisation of intangible assets</t>
  </si>
  <si>
    <t xml:space="preserve">Interest income </t>
  </si>
  <si>
    <t xml:space="preserve">Interest costs </t>
  </si>
  <si>
    <t>Foreign exchange (losses)/gains on financing activities</t>
  </si>
  <si>
    <t>Other non-cash items</t>
  </si>
  <si>
    <t xml:space="preserve">Operating cash flows before working capital changes </t>
  </si>
  <si>
    <t>Changes in working capital</t>
  </si>
  <si>
    <t xml:space="preserve">Inventories </t>
  </si>
  <si>
    <t xml:space="preserve">Trade and other receivables </t>
  </si>
  <si>
    <t xml:space="preserve">Trade and other payables </t>
  </si>
  <si>
    <t>Cash generated from operations</t>
  </si>
  <si>
    <t>Dividends received from joint ventures</t>
  </si>
  <si>
    <t>Tax paid</t>
  </si>
  <si>
    <t>Net cash from operating activities</t>
  </si>
  <si>
    <t>Cash flows from investing activities</t>
  </si>
  <si>
    <t>Purchases of intangible assets</t>
  </si>
  <si>
    <t>Purchases of property, plant and equipment</t>
  </si>
  <si>
    <t>Proceeds from sale of property, plant and equipment</t>
  </si>
  <si>
    <t>Loans granted to related parties</t>
  </si>
  <si>
    <t>Loan repayments received from related parties</t>
  </si>
  <si>
    <t>Interest received</t>
  </si>
  <si>
    <t>Net cash used in investing activities</t>
  </si>
  <si>
    <t>Cash flows from financing activities</t>
  </si>
  <si>
    <t>Proceeds from borrowings</t>
  </si>
  <si>
    <t>Repayments of borrowings</t>
  </si>
  <si>
    <t>Interest paid</t>
  </si>
  <si>
    <t>Proceeds from derivative financial instruments</t>
  </si>
  <si>
    <t>Finance lease principal payments (third parties)</t>
  </si>
  <si>
    <t>Dividends paid to non controlling interest</t>
  </si>
  <si>
    <t>Net cash (used in)/from financing activities</t>
  </si>
  <si>
    <t>Net (decrease)/increase in cash and bank overdrafts</t>
  </si>
  <si>
    <t>Cash and bank overdrafts at beginning of the year</t>
  </si>
  <si>
    <t>Exchange (losses)/gains on cash and bank overdrafts</t>
  </si>
  <si>
    <t>Cash and bank overdrafts at end of the year</t>
  </si>
  <si>
    <t xml:space="preserve">Databook </t>
  </si>
  <si>
    <t>Summary</t>
  </si>
  <si>
    <t>Date of last update</t>
  </si>
  <si>
    <t>Russian Container Market Statictics</t>
  </si>
  <si>
    <t>Source: ASOP</t>
  </si>
  <si>
    <t>1H 13</t>
  </si>
  <si>
    <t>2H 13</t>
  </si>
  <si>
    <t>1H 14</t>
  </si>
  <si>
    <t>2H 14</t>
  </si>
  <si>
    <t>1H 15</t>
  </si>
  <si>
    <t>2H 15</t>
  </si>
  <si>
    <t>1H 16</t>
  </si>
  <si>
    <t>2H 16</t>
  </si>
  <si>
    <t>1H 17</t>
  </si>
  <si>
    <t>2H 18</t>
  </si>
  <si>
    <t>2H 17</t>
  </si>
  <si>
    <t>1H 18</t>
  </si>
  <si>
    <t>Semi-annual</t>
  </si>
  <si>
    <t>Source: Directors’ report and consolidated financial statements of Global Ports Investments Plc</t>
  </si>
  <si>
    <t>http://www.globalports.com/globalports/investors/reporting-transactions/annual-interim-results</t>
  </si>
  <si>
    <t>Expert RA</t>
  </si>
  <si>
    <t>Outlook</t>
  </si>
  <si>
    <t>Description</t>
  </si>
  <si>
    <t>Rating</t>
  </si>
  <si>
    <t>Rated security</t>
  </si>
  <si>
    <t>Global Ports Investments Plc</t>
  </si>
  <si>
    <t>Rating Agency</t>
  </si>
  <si>
    <t>LTIFR</t>
  </si>
  <si>
    <t>Fatalities</t>
  </si>
  <si>
    <t>Fatalities / Thousand employees</t>
  </si>
  <si>
    <t>Electricity Used</t>
  </si>
  <si>
    <t>Thousand MWh</t>
  </si>
  <si>
    <t>Thousand m3</t>
  </si>
  <si>
    <t>Fuel Used (diesel, petrol)</t>
  </si>
  <si>
    <t>Administration staff</t>
  </si>
  <si>
    <t>Production staff</t>
  </si>
  <si>
    <t>ENVIRONMENT</t>
  </si>
  <si>
    <t>Diversity of staff</t>
  </si>
  <si>
    <t>SOCIAL</t>
  </si>
  <si>
    <t>GOVERNANCE</t>
  </si>
  <si>
    <t>%</t>
  </si>
  <si>
    <t>Electricity consumption per 1 tonne of cargo handled by Russian Ports’ marine terminals</t>
  </si>
  <si>
    <t>Fuel consumption per 1 tonne of cargo handled by Russian Ports’ marine terminals</t>
  </si>
  <si>
    <t>kWh</t>
  </si>
  <si>
    <t>l/t</t>
  </si>
  <si>
    <t>USD</t>
  </si>
  <si>
    <t>Energy intensity of Russian Ports’ marine terminals (MWh per million of sales revenue in USD)</t>
  </si>
  <si>
    <t>Length of service (years)</t>
  </si>
  <si>
    <t>5-10 years</t>
  </si>
  <si>
    <t>Less than 5 years</t>
  </si>
  <si>
    <t>More than 20 year</t>
  </si>
  <si>
    <t>11-20 years</t>
  </si>
  <si>
    <t>Executive management</t>
  </si>
  <si>
    <t>The Board of Directors size</t>
  </si>
  <si>
    <t>Tenure of Board</t>
  </si>
  <si>
    <t>&gt; 4 years</t>
  </si>
  <si>
    <t>&lt; 1 year</t>
  </si>
  <si>
    <t>1-4 year</t>
  </si>
  <si>
    <t>Board diversity</t>
  </si>
  <si>
    <t>male</t>
  </si>
  <si>
    <t>female</t>
  </si>
  <si>
    <t>Director average compensation</t>
  </si>
  <si>
    <t>Number of Board Committees</t>
  </si>
  <si>
    <t>Audit and Risk Committee size</t>
  </si>
  <si>
    <t>Remuneration Committee size</t>
  </si>
  <si>
    <t>Number of Indepentant Directors in Committee</t>
  </si>
  <si>
    <t>Source: Company data</t>
  </si>
  <si>
    <t>ESG</t>
  </si>
  <si>
    <t>Income statement</t>
  </si>
  <si>
    <t>Balance sheet</t>
  </si>
  <si>
    <t>Cash flow</t>
  </si>
  <si>
    <t>Total Debt</t>
  </si>
  <si>
    <t>Net Debt</t>
  </si>
  <si>
    <t>FCF</t>
  </si>
  <si>
    <t xml:space="preserve">First Container Terminal (FCT) </t>
  </si>
  <si>
    <t>Petrolesport (PLP)</t>
  </si>
  <si>
    <t>Ust Luga Container Terminal (ULCT)</t>
  </si>
  <si>
    <t>Vostochnaya Stevedoring Company (VSC)</t>
  </si>
  <si>
    <t>Reefer container yard, plugs</t>
  </si>
  <si>
    <t xml:space="preserve">Number of railway tracks </t>
  </si>
  <si>
    <t>Saint-Petersburg and area (incl. Ust-Luga)</t>
  </si>
  <si>
    <t>Baltics (incl. Kaliningrad)</t>
  </si>
  <si>
    <t>Northern Ports</t>
  </si>
  <si>
    <t>South</t>
  </si>
  <si>
    <t>Far East</t>
  </si>
  <si>
    <t xml:space="preserve">Total Russian market </t>
  </si>
  <si>
    <t>Export</t>
  </si>
  <si>
    <t>Transit and Cabotage</t>
  </si>
  <si>
    <t>Marine Terminals</t>
  </si>
  <si>
    <t>PLP</t>
  </si>
  <si>
    <t>VSC</t>
  </si>
  <si>
    <t>FCT</t>
  </si>
  <si>
    <t>ULCT</t>
  </si>
  <si>
    <t>Non-containerised cargo</t>
  </si>
  <si>
    <t>Operational statistics of Joint Ventures</t>
  </si>
  <si>
    <t>Moby Dik</t>
  </si>
  <si>
    <t>Finnish Ports</t>
  </si>
  <si>
    <t>Inland Terminals</t>
  </si>
  <si>
    <t>Yanino</t>
  </si>
  <si>
    <t>Ro-ro</t>
  </si>
  <si>
    <t>thousand units</t>
  </si>
  <si>
    <t>thousand tonnes</t>
  </si>
  <si>
    <t xml:space="preserve">Cars </t>
  </si>
  <si>
    <t>Other bulk cargo</t>
  </si>
  <si>
    <t>thousand TEUs</t>
  </si>
  <si>
    <t xml:space="preserve">Containerised cargo </t>
  </si>
  <si>
    <t xml:space="preserve">Consolidated Bulk Throughput </t>
  </si>
  <si>
    <t xml:space="preserve">Consolidated Container Throughput </t>
  </si>
  <si>
    <t>Bulk cargo throughput</t>
  </si>
  <si>
    <t>Containerised cargo</t>
  </si>
  <si>
    <t>Total (Consolidated basis)</t>
  </si>
  <si>
    <t>Total Joint Ventures</t>
  </si>
  <si>
    <t>Share of basins</t>
  </si>
  <si>
    <t>Cargo handled</t>
  </si>
  <si>
    <t>Containers</t>
  </si>
  <si>
    <t>Containers, Ro-Ro,
bulk and general cargo</t>
  </si>
  <si>
    <t>Containers, bulk cargo</t>
  </si>
  <si>
    <t>MLT Kotka</t>
  </si>
  <si>
    <t>MLT Helsinki</t>
  </si>
  <si>
    <t>Containers, Ro-Ro,
bulk cargo</t>
  </si>
  <si>
    <t>Location</t>
  </si>
  <si>
    <t>Fully consolidated in IFRS</t>
  </si>
  <si>
    <t>Non-IFRS financial measures</t>
  </si>
  <si>
    <t>Operational data</t>
  </si>
  <si>
    <t>Ratings</t>
  </si>
  <si>
    <t>Assets</t>
  </si>
  <si>
    <t>Securities</t>
  </si>
  <si>
    <t>GDR</t>
  </si>
  <si>
    <t>Eurobonds</t>
  </si>
  <si>
    <t>Debt structure</t>
  </si>
  <si>
    <t>Bonds</t>
  </si>
  <si>
    <t>Leasing</t>
  </si>
  <si>
    <t>RUB</t>
  </si>
  <si>
    <t>RubBonds</t>
  </si>
  <si>
    <t>Last price</t>
  </si>
  <si>
    <t>Mid price</t>
  </si>
  <si>
    <t>1Q18</t>
  </si>
  <si>
    <t>2Q18</t>
  </si>
  <si>
    <t>https://www.londonstockexchange.com/exchange/prices-and-markets/stocks/summary/company-summary/US37951Q2021USUSDIOBE.html?lang=en</t>
  </si>
  <si>
    <t>Global Ports (Finance ) PLC</t>
  </si>
  <si>
    <t>2Q19</t>
  </si>
  <si>
    <t>3Q18</t>
  </si>
  <si>
    <t>4Q18</t>
  </si>
  <si>
    <t>1Q19</t>
  </si>
  <si>
    <t>3Q19</t>
  </si>
  <si>
    <t>4Q19</t>
  </si>
  <si>
    <t>Option for Summary</t>
  </si>
  <si>
    <t>Average RUB/USD exchange rate</t>
  </si>
  <si>
    <t>01</t>
  </si>
  <si>
    <t>02</t>
  </si>
  <si>
    <t>03</t>
  </si>
  <si>
    <t>Disclaimer</t>
  </si>
  <si>
    <t>Analysts Databook</t>
  </si>
  <si>
    <t>Bloomberg</t>
  </si>
  <si>
    <t>ELECTRICITY_USED</t>
  </si>
  <si>
    <t>OIL_DIESEL_USED</t>
  </si>
  <si>
    <t>PCT_WATER_RECYCLED</t>
  </si>
  <si>
    <t>PCT_WOMEN_EMPLOYEES</t>
  </si>
  <si>
    <t>PERCENTAGE_OF_FEMALE_EXECUTIVES</t>
  </si>
  <si>
    <t>FATALITIES_TOTAL</t>
  </si>
  <si>
    <t>FATALITIES_PER_1000_EMPLOYEES</t>
  </si>
  <si>
    <t>Number of Sites</t>
  </si>
  <si>
    <t>NUMBER_OF_SITES</t>
  </si>
  <si>
    <t>Political Donations</t>
  </si>
  <si>
    <t>POLITICAL_DONATIONS</t>
  </si>
  <si>
    <t>Business Ethics Policy</t>
  </si>
  <si>
    <t>yes</t>
  </si>
  <si>
    <t>ETHICS_POLICY</t>
  </si>
  <si>
    <t>Anti-Bribery Ethics Policy</t>
  </si>
  <si>
    <t>ANTI-BRIBERY_ETHICS_POLICY</t>
  </si>
  <si>
    <t>Number of Employees - CSR</t>
  </si>
  <si>
    <t>NUMBER_EMPLOYEES_CSR</t>
  </si>
  <si>
    <t>BOARD_SIZE</t>
  </si>
  <si>
    <t>INDEPENDENT_DIRECTORS</t>
  </si>
  <si>
    <t>PCT_INDEPENDENT_DIRECTORS</t>
  </si>
  <si>
    <t>NUM_OF_NONEXEC_DIR_ON_BRD</t>
  </si>
  <si>
    <t>%_OF_NON-EXECUTIVE_DIR_ON_BRD</t>
  </si>
  <si>
    <t>Independent Chairperson</t>
  </si>
  <si>
    <t>no</t>
  </si>
  <si>
    <t>INDEPENDENT_CHAIRPERSON</t>
  </si>
  <si>
    <t>%_WOMEN_ON_BOARD</t>
  </si>
  <si>
    <t>Independent Directors Diversity</t>
  </si>
  <si>
    <t>Number of Women on Board</t>
  </si>
  <si>
    <t>NUMBER_OF_WOMEN_ON_BOARD</t>
  </si>
  <si>
    <t>Age of the Youngest Director</t>
  </si>
  <si>
    <t>AGE_OF_YOUNGEST_DIRECTOR</t>
  </si>
  <si>
    <t>Age of the Oldest Director</t>
  </si>
  <si>
    <t>AGE_OF_OLDEST_DIRECTOR</t>
  </si>
  <si>
    <t>Board of Directors Age Range</t>
  </si>
  <si>
    <t>BOARD_OF_DIRECTORS_AGE_RANGE</t>
  </si>
  <si>
    <t>BOARD_AVERAGE_AGE</t>
  </si>
  <si>
    <t>Female Chief Executive Officer or Equivalent</t>
  </si>
  <si>
    <t>FEMALE_CEO_OR_EQUIVALENT</t>
  </si>
  <si>
    <t>Date of Last Board of Director Change</t>
  </si>
  <si>
    <t>14 May 2018</t>
  </si>
  <si>
    <t>DATE_OF_LAST_BOD_CHANGE</t>
  </si>
  <si>
    <t>Number of CEO and Equivalent Changes During FY</t>
  </si>
  <si>
    <t>NUM_CEO_&amp;_EQUIVALENT_CHANGES</t>
  </si>
  <si>
    <t>Number of CFO and Equivalent Changes During FY</t>
  </si>
  <si>
    <t>NUM_CFO_&amp;_EQUIVALENT_CHANGES</t>
  </si>
  <si>
    <t>Number of COO and Equivalent Changes During FY</t>
  </si>
  <si>
    <t>NUM_COO_&amp;_EQUIVALENT_CHNG</t>
  </si>
  <si>
    <t>Number of Board of Director Changes During FY</t>
  </si>
  <si>
    <t>NUMBER_OF_BOD_CHANGES_DURING_FY</t>
  </si>
  <si>
    <t>Chief Executive Officer Tenure as of FY End</t>
  </si>
  <si>
    <t>CEO_TENURE_AS_OF_FY_END</t>
  </si>
  <si>
    <t>Chief Operating Officer Tenure as of FY End</t>
  </si>
  <si>
    <t>COO_TENURE_AS_OF_FY_END</t>
  </si>
  <si>
    <t>Chief Financial Officer Tenure as of FY End</t>
  </si>
  <si>
    <t>CFO_TENURE_AS_OF_FY_END</t>
  </si>
  <si>
    <t>Board Duration (Years)</t>
  </si>
  <si>
    <t>BOARD_DURATION</t>
  </si>
  <si>
    <t>th.USD</t>
  </si>
  <si>
    <t>AVERAGE_BOD_TOTAL_COMPENSATION</t>
  </si>
  <si>
    <t>Total Board of Director Compensation Paid</t>
  </si>
  <si>
    <t>TOTAL_BOD_COMPENSATION_AWARDED</t>
  </si>
  <si>
    <t>Total Salaries and Bonuses Paid to Executives</t>
  </si>
  <si>
    <t>TOT_SALARIES_&amp;_BNS_PD_TO_EXECS</t>
  </si>
  <si>
    <t>Auditor Ratification</t>
  </si>
  <si>
    <t>AUDITOR_RATIFICATION</t>
  </si>
  <si>
    <t>Strategy Committee</t>
  </si>
  <si>
    <t>STRATEGY_COMMITTEE</t>
  </si>
  <si>
    <t>Audit and Risk Committee</t>
  </si>
  <si>
    <t>SIZE_OF_AUDIT_COMMITTEE</t>
  </si>
  <si>
    <t>NUM_IND_DIR_ON_AUD_CMTE</t>
  </si>
  <si>
    <t>Percent of Independent Directors on Audit and Risk Committee</t>
  </si>
  <si>
    <t>PCT_IND_DIRECTORS_ON_AUDIT_CMTE</t>
  </si>
  <si>
    <t>Independent Audit and Risk Committee Chairperson</t>
  </si>
  <si>
    <t>IND_AUDIT_COMMITTEE_CHAIRPERSON</t>
  </si>
  <si>
    <t>Number of Non-Executive Directors on Audit and Risk Committee</t>
  </si>
  <si>
    <t>NUM_OF_NON_EXEC_DIR_ON_AUD_CMTE</t>
  </si>
  <si>
    <t>Number of Audit and Risk Committee Meetings</t>
  </si>
  <si>
    <t>AUDIT_COMMITTEE_MEETINGS</t>
  </si>
  <si>
    <t>Audit and Risk Committee Meeting Attendance Percentage</t>
  </si>
  <si>
    <t>AUDIT_COMMITTEE_MEETING_ATTEND_%</t>
  </si>
  <si>
    <t>SIZE_OF_NOMINATION_COMMITTEE</t>
  </si>
  <si>
    <t>NUM_IND_DIR_ON_NOM_CMTE</t>
  </si>
  <si>
    <t>PCT_OF_IND_DIRECTORS_ON_NOM_CMTE</t>
  </si>
  <si>
    <t>IND_NOMINATION_CMTE_CHAIRPERSON</t>
  </si>
  <si>
    <t>NUM_OF_NON_EXEC_DIR_ON_NOM_CMTE</t>
  </si>
  <si>
    <t>NUM_OF_NOMINATION_CMTE_MTG</t>
  </si>
  <si>
    <t>NOMINATION_CMTE_MTG_ATTEND_%</t>
  </si>
  <si>
    <t>SIZE_OF_COMPENSATION_COMMITTEE</t>
  </si>
  <si>
    <t>NUM_IND_DIR_ON_CMPNSTN_CMTE</t>
  </si>
  <si>
    <t>Percent of Independent Directors on Remuneration Committee</t>
  </si>
  <si>
    <t>PCT_IND_DIRECTORS_ON_COMP_CMTE</t>
  </si>
  <si>
    <t>Independent Remuneration Committee Chairperson</t>
  </si>
  <si>
    <t>IND_COMP_CMTE_CHAIRPERSON</t>
  </si>
  <si>
    <t>NUM_OF_N_EXEC_DIR_ON_COMP_CMTE</t>
  </si>
  <si>
    <t>Number of Remuneration Committee Meetings</t>
  </si>
  <si>
    <t>NUM_COMPENSATION_CMTE_MTG</t>
  </si>
  <si>
    <t>Remuneration Committee Meeting Attendance %</t>
  </si>
  <si>
    <t>COMPENSATION_CMTE_MTG_ATTEND_%</t>
  </si>
  <si>
    <t>1H 12</t>
  </si>
  <si>
    <t>2H 12</t>
  </si>
  <si>
    <t>1H 11</t>
  </si>
  <si>
    <t>2H 11</t>
  </si>
  <si>
    <t>1H 10</t>
  </si>
  <si>
    <t>2H 10</t>
  </si>
  <si>
    <t>1H 09</t>
  </si>
  <si>
    <t>2H 09</t>
  </si>
  <si>
    <t>2H 08</t>
  </si>
  <si>
    <t>1H 08</t>
  </si>
  <si>
    <t>Last Chief Executive Officer Start Date</t>
  </si>
  <si>
    <t>Last Chief Operating Officer Start Date</t>
  </si>
  <si>
    <t>Last Chief Financial Officer Start Date</t>
  </si>
  <si>
    <t>25 September 2017</t>
  </si>
  <si>
    <t>21 March 2016</t>
  </si>
  <si>
    <t>16 July 2018</t>
  </si>
  <si>
    <t>Board Average Age</t>
  </si>
  <si>
    <t>Executive Chair (Y/N)</t>
  </si>
  <si>
    <t>COMPANY_HAS_EXECUTIVE_CHAIRMAN</t>
  </si>
  <si>
    <t>IR Contact Name</t>
  </si>
  <si>
    <t>IR_CONTACT_NAME</t>
  </si>
  <si>
    <t>1. Mikhail Grigoriev 
2. Tatiana Khansuvarova</t>
  </si>
  <si>
    <t>IR Phone Number</t>
  </si>
  <si>
    <t>IR_PHONE_NUMBER</t>
  </si>
  <si>
    <t>IR Email Address</t>
  </si>
  <si>
    <t>ir@globalports.com</t>
  </si>
  <si>
    <t>IR_EMAIL_ADDRESS</t>
  </si>
  <si>
    <t>IR Title</t>
  </si>
  <si>
    <t>1. Head of IR and Capital Markets
2. IR Analyst</t>
  </si>
  <si>
    <t>IR_TITLE</t>
  </si>
  <si>
    <t>Chair Name</t>
  </si>
  <si>
    <t>NAME_OF_CHAIRMAN</t>
  </si>
  <si>
    <t>Mr. Morten Engelstoft</t>
  </si>
  <si>
    <t>Female Chairperson or Equivalent</t>
  </si>
  <si>
    <t>FEMALE_CHAIRPERSON_OR_EQUIVALENT</t>
  </si>
  <si>
    <t>Chief Executive Officer or Equivalent a Woman</t>
  </si>
  <si>
    <t>CEO_OR_EQUIVALENT_A_WOMAN</t>
  </si>
  <si>
    <t>Board has at Least One Female Director</t>
  </si>
  <si>
    <t>BOARD_HAS_LEAST_ONE_FEM_DIRECTOR</t>
  </si>
  <si>
    <t>Number of Board Meetings for the Year</t>
  </si>
  <si>
    <t>BOARD_MEETINGS_PER_YR</t>
  </si>
  <si>
    <t>Board Meeting Attendance %</t>
  </si>
  <si>
    <t>BOARD_MEETING_ATTENDANCE_PCT</t>
  </si>
  <si>
    <t>Chief Executive Officer Age</t>
  </si>
  <si>
    <t>CHIEF_EXECUTIVE_OFFICER_AGE</t>
  </si>
  <si>
    <t>Num of Directors Attending less than 75 % of Mtg</t>
  </si>
  <si>
    <t>NUM_DIR_ATTEND_LT_75_PCT_MTG</t>
  </si>
  <si>
    <t>CEO Duality</t>
  </si>
  <si>
    <t>CEO_DUALITY</t>
  </si>
  <si>
    <t>CEO Name</t>
  </si>
  <si>
    <t>Mr. Vladimir Bychkov</t>
  </si>
  <si>
    <r>
      <t>Water Recycled</t>
    </r>
    <r>
      <rPr>
        <sz val="9"/>
        <color rgb="FF000000"/>
        <rFont val="Arial"/>
        <family val="2"/>
        <charset val="204"/>
      </rPr>
      <t xml:space="preserve"> </t>
    </r>
  </si>
  <si>
    <t>NAME_OF_CHIEF_EXECUTIVE_OFFICER</t>
  </si>
  <si>
    <t>Chief Financial Officer Name</t>
  </si>
  <si>
    <t>Mr. Alexander Roslavtsev</t>
  </si>
  <si>
    <t>CEO Promoted from Within</t>
  </si>
  <si>
    <t>CEO_PROMOTED_WITHIN_COMPANY</t>
  </si>
  <si>
    <t>CSR/Sustainability Committee (Y/N)</t>
  </si>
  <si>
    <t>STBLY_ENV_HLTH_&amp;_SFTY_CSR_CMTE</t>
  </si>
  <si>
    <t>Independent Directors Board Meeting Attendance %</t>
  </si>
  <si>
    <t>IND_DIRECTORS_BRD_MTG_ATTEND_%</t>
  </si>
  <si>
    <t>CEO on the Board (Y/N)</t>
  </si>
  <si>
    <t>CHIEF_EXECUTIVE_OFFICER_ON_BOD</t>
  </si>
  <si>
    <t>% Non Employee Board Members Holding Shares</t>
  </si>
  <si>
    <t>PCT_NON_EMP_DIR_HOLDING_SHS</t>
  </si>
  <si>
    <t>Former CEO or its Equivalent on Board</t>
  </si>
  <si>
    <t>FORMER_CEO_OR_ITS_EQUIV_ON_BRD</t>
  </si>
  <si>
    <t>Diversity</t>
  </si>
  <si>
    <t>Environment</t>
  </si>
  <si>
    <t>Health and Safety</t>
  </si>
  <si>
    <t>Sustainability Governance</t>
  </si>
  <si>
    <t>Board Committee</t>
  </si>
  <si>
    <t>Investor Relations</t>
  </si>
  <si>
    <t>Board of Directors</t>
  </si>
  <si>
    <t>Other</t>
  </si>
  <si>
    <t>LAST_CEO_START_DATE</t>
  </si>
  <si>
    <t>LAST_CFO_START_DATE</t>
  </si>
  <si>
    <t>CHIEF_FINANCIAL_OFFICER_NAME</t>
  </si>
  <si>
    <t>LAST_COO_START_DATE</t>
  </si>
  <si>
    <t>yes / no</t>
  </si>
  <si>
    <t>Units</t>
  </si>
  <si>
    <t>Long-Term Foreign and Local Currency Issuer Default Ratings (IDRs)</t>
  </si>
  <si>
    <t>Stable </t>
  </si>
  <si>
    <t xml:space="preserve"> - </t>
  </si>
  <si>
    <t>JSC FCT Bonds (Series 01)</t>
  </si>
  <si>
    <t>JSC FCT Bonds (Series 02)</t>
  </si>
  <si>
    <t>JSC FCT Bonds (Series 03)</t>
  </si>
  <si>
    <t>Last action</t>
  </si>
  <si>
    <t>ruA+</t>
  </si>
  <si>
    <t>Rating of creditworthiness </t>
  </si>
  <si>
    <t>Rating of debt instruments' reliability</t>
  </si>
  <si>
    <t>Fitch Ratings</t>
  </si>
  <si>
    <t>Moody's Investors Service</t>
  </si>
  <si>
    <t xml:space="preserve">LT Corporate Family Ratings </t>
  </si>
  <si>
    <t>Berth and gate capacity, thTEU</t>
  </si>
  <si>
    <t>Yard capacity, thTEU</t>
  </si>
  <si>
    <t>Big port of Saint-Petersburg</t>
  </si>
  <si>
    <t>Land, ha</t>
  </si>
  <si>
    <t>Nakhodka</t>
  </si>
  <si>
    <t>Ust-Luga port cluster</t>
  </si>
  <si>
    <t>Kronstadt (St. Petersburg)</t>
  </si>
  <si>
    <t>Kotka,  Finland</t>
  </si>
  <si>
    <t>St. Petersburg</t>
  </si>
  <si>
    <t>Joint Ventures</t>
  </si>
  <si>
    <t>Average RUB/EUR exchange rate</t>
  </si>
  <si>
    <t xml:space="preserve">Profit for the year </t>
  </si>
  <si>
    <t>Adjusted for</t>
  </si>
  <si>
    <t xml:space="preserve">Income tax expense </t>
  </si>
  <si>
    <t xml:space="preserve">Finance costs—net </t>
  </si>
  <si>
    <t xml:space="preserve">Amortisation of intangible assets </t>
  </si>
  <si>
    <t xml:space="preserve">Impairment of goodwill and property, plant and equipment </t>
  </si>
  <si>
    <t xml:space="preserve">Other (losses)/gains—net </t>
  </si>
  <si>
    <t xml:space="preserve">Adjusted EBITDA* </t>
  </si>
  <si>
    <t>Share of (loss)/profit of joint ventures accounted for using the equity method</t>
  </si>
  <si>
    <t>Revenue per TEU Russian Ports</t>
  </si>
  <si>
    <t>Revenue per TEU Consolidated</t>
  </si>
  <si>
    <t>Revenue Russian Ports</t>
  </si>
  <si>
    <t xml:space="preserve"> - container revenue</t>
  </si>
  <si>
    <t xml:space="preserve"> - non-container revenue</t>
  </si>
  <si>
    <t>Consolidated revenue</t>
  </si>
  <si>
    <t xml:space="preserve">Adjusted for </t>
  </si>
  <si>
    <t>Free Cash Flow</t>
  </si>
  <si>
    <t>Adjusted EBITDA* margin</t>
  </si>
  <si>
    <t>Adjusted EBITDA</t>
  </si>
  <si>
    <t>Adjusted EBITDA 
Margin</t>
  </si>
  <si>
    <t>Reconciliation</t>
  </si>
  <si>
    <t>% Non Executive Directors on Audit and Risk Committee</t>
  </si>
  <si>
    <t>% Non Executive Directors on Remuneration Committee</t>
  </si>
  <si>
    <t>number</t>
  </si>
  <si>
    <t>date</t>
  </si>
  <si>
    <t>PCT_NON_EXEC_DIR_ON_AUD_CMTE</t>
  </si>
  <si>
    <t>PCT_NON_EXEC_DIR_ON_CMPNSTN_CMTE</t>
  </si>
  <si>
    <t>%_NON_EXECUTIVE_DIR_ON_NOM_CMTE</t>
  </si>
  <si>
    <t>Number of Independent Directors</t>
  </si>
  <si>
    <t>% Independent Directors</t>
  </si>
  <si>
    <t>Number of Executive Directors</t>
  </si>
  <si>
    <t>Number of Non-Executive Directors</t>
  </si>
  <si>
    <t>Percentage of Non-Executive Directors on Board</t>
  </si>
  <si>
    <t># Board Members Serving &gt; 10 Years</t>
  </si>
  <si>
    <t># Board Members Serving &gt; 5 Years</t>
  </si>
  <si>
    <t>NUM_BRD_MEMB_SERVING_OVER_10Y</t>
  </si>
  <si>
    <t>NUM_BRD_MEMB_SERVING_OVER_5Y</t>
  </si>
  <si>
    <t>Longest Serving Board Member Name</t>
  </si>
  <si>
    <t>Alexander Iodchin</t>
  </si>
  <si>
    <t>NM_OF_LONGEST_SERVING_BRD_MEMBER</t>
  </si>
  <si>
    <t>Ilibrinio Establishment Limited</t>
  </si>
  <si>
    <t>Free-float</t>
  </si>
  <si>
    <t>Percentage</t>
  </si>
  <si>
    <t>Number of Oridinary Voting Shares</t>
  </si>
  <si>
    <t>Security description and shareholder structure</t>
  </si>
  <si>
    <t>Amount</t>
  </si>
  <si>
    <t>Coupon frequency</t>
  </si>
  <si>
    <t>Listing</t>
  </si>
  <si>
    <t>Irish S.E</t>
  </si>
  <si>
    <t>First Container Terminal</t>
  </si>
  <si>
    <t>RU000A0JW0S4</t>
  </si>
  <si>
    <t>MOEX</t>
  </si>
  <si>
    <t>Date of listing</t>
  </si>
  <si>
    <t>RU000A0JW5E3</t>
  </si>
  <si>
    <t>RU000A0JWBP5</t>
  </si>
  <si>
    <t># Board Positions CEO Holds</t>
  </si>
  <si>
    <t>NUM_BDS_CEO_SERVES_OTHER_FIRMS</t>
  </si>
  <si>
    <t>IR Tenure</t>
  </si>
  <si>
    <t>1. 7 years
2. 1.5 years</t>
  </si>
  <si>
    <t>IR_TENURE</t>
  </si>
  <si>
    <t>1. +357 25 313 475 /
 +7 916 991 73 96
2. +7 812 677 15 57</t>
  </si>
  <si>
    <t># Executive Directors on 2+ Boards</t>
  </si>
  <si>
    <t>% of Executive Directors on 2+ Boards</t>
  </si>
  <si>
    <t>NUM_EXEC_DIR_TWO_OR_MOR_BDS</t>
  </si>
  <si>
    <t>PCT_OF_EXECUTIVE_DIR_ON_2+_BDS</t>
  </si>
  <si>
    <t># of Non-Executive Board Members on 3+ Boards</t>
  </si>
  <si>
    <t>NUM_NONEXEC_BRD_MEM_3_OR_MOR_BDS</t>
  </si>
  <si>
    <t>Global Ports Investments PLC</t>
  </si>
  <si>
    <t>London Stock Exchange</t>
  </si>
  <si>
    <t>GLPR</t>
  </si>
  <si>
    <t>ISIN</t>
  </si>
  <si>
    <t>US37951Q2021</t>
  </si>
  <si>
    <t>Issuer</t>
  </si>
  <si>
    <t>29 June 2011</t>
  </si>
  <si>
    <t>Reg S</t>
  </si>
  <si>
    <t>144 A</t>
  </si>
  <si>
    <t>XS1319813769</t>
  </si>
  <si>
    <t>US37955KAA07</t>
  </si>
  <si>
    <t>XS1405775450</t>
  </si>
  <si>
    <t>US37955KAC62</t>
  </si>
  <si>
    <t>GDR (three ordinary shares)</t>
  </si>
  <si>
    <t>Ticker LSE</t>
  </si>
  <si>
    <t>Coupon bonds (series 01)</t>
  </si>
  <si>
    <t>Coupon bonds (series 03)</t>
  </si>
  <si>
    <t>Coupon bonds (series 02)</t>
  </si>
  <si>
    <t>Coupon bonds 2022</t>
  </si>
  <si>
    <t>Coupon bonds 2023</t>
  </si>
  <si>
    <t xml:space="preserve">350 USD mln </t>
  </si>
  <si>
    <t>5 RUB bln</t>
  </si>
  <si>
    <t xml:space="preserve">Nominal </t>
  </si>
  <si>
    <t>1 000 USD</t>
  </si>
  <si>
    <t>1 000 RUB</t>
  </si>
  <si>
    <t>Maturity / Offer date</t>
  </si>
  <si>
    <t>GLOBAL PORTS INVESTMENTS SHARES</t>
  </si>
  <si>
    <t>EUROBONDS</t>
  </si>
  <si>
    <t>RUBLE BONDS</t>
  </si>
  <si>
    <t>SHAREHOLDER STRUCTURE</t>
  </si>
  <si>
    <t>RUB/USD exchange rate (End of period)</t>
  </si>
  <si>
    <t>RUB/EUR exchange rate  (End of period)</t>
  </si>
  <si>
    <t>Non-current Borrowings</t>
  </si>
  <si>
    <t>Current Borrowings</t>
  </si>
  <si>
    <t>Total Debt / Net Debt</t>
  </si>
  <si>
    <t>Interest paid (net)</t>
  </si>
  <si>
    <t>Debt and Borrowings</t>
  </si>
  <si>
    <t>Assets Description</t>
  </si>
  <si>
    <t>Transit</t>
  </si>
  <si>
    <t>Cabotage</t>
  </si>
  <si>
    <t>Unit</t>
  </si>
  <si>
    <t>Consolidated Terminals</t>
  </si>
  <si>
    <t>Operational Data</t>
  </si>
  <si>
    <t>Operating activity</t>
  </si>
  <si>
    <t>Investing activity</t>
  </si>
  <si>
    <t>Financing activity</t>
  </si>
  <si>
    <t>Equity and liabilities</t>
  </si>
  <si>
    <t>CONSOLIDATED INCOME STATEMENT and expenses by nature</t>
  </si>
  <si>
    <t>Staff costs</t>
  </si>
  <si>
    <t>Transportation expenses</t>
  </si>
  <si>
    <t>Fuel, electricity and gas</t>
  </si>
  <si>
    <t>Repair and maintenance of property, plant and equipment</t>
  </si>
  <si>
    <t>Taxes other than on income</t>
  </si>
  <si>
    <t>Operating lease rentals</t>
  </si>
  <si>
    <t>Purchased services</t>
  </si>
  <si>
    <t>Other expenses</t>
  </si>
  <si>
    <t>Total cost of sales, administrative, selling and marketing expenses</t>
  </si>
  <si>
    <r>
      <t>Depreciation of property, plant and equipment</t>
    </r>
    <r>
      <rPr>
        <sz val="9"/>
        <color theme="0"/>
        <rFont val="Arial"/>
        <family val="2"/>
        <charset val="204"/>
      </rPr>
      <t xml:space="preserve"> (Note 15)</t>
    </r>
  </si>
  <si>
    <r>
      <t>Amortisation of intangible assets</t>
    </r>
    <r>
      <rPr>
        <sz val="9"/>
        <color theme="0"/>
        <rFont val="Arial"/>
        <family val="2"/>
        <charset val="204"/>
      </rPr>
      <t xml:space="preserve"> (Note 16 )</t>
    </r>
  </si>
  <si>
    <r>
      <t>Impairment of property, plant and equipment</t>
    </r>
    <r>
      <rPr>
        <sz val="9"/>
        <color theme="0"/>
        <rFont val="Arial"/>
        <family val="2"/>
        <charset val="204"/>
      </rPr>
      <t xml:space="preserve"> (Note 15)</t>
    </r>
  </si>
  <si>
    <t xml:space="preserve">Impairment of intangible assets </t>
  </si>
  <si>
    <t>Cost of sales, administrative, selling and marketing expenses</t>
  </si>
  <si>
    <t>Repair and maintenance of property plant and equipment</t>
  </si>
  <si>
    <t>Total cost of sales</t>
  </si>
  <si>
    <t>Depreciation of property plant and equipment</t>
  </si>
  <si>
    <t>Impairment of property, plant and equipment</t>
  </si>
  <si>
    <t>Impairment of intangible assets</t>
  </si>
  <si>
    <t>Total Cash Operating costs (non-IFRS)</t>
  </si>
  <si>
    <t>Total Cash Costs of sales  (non-IFRS)</t>
  </si>
  <si>
    <t>Total administrative, selling and marketing expenses</t>
  </si>
  <si>
    <t>Depreciation of property, plant and equipment</t>
  </si>
  <si>
    <t>Total Cash administrative, selling and marketing expenses</t>
  </si>
  <si>
    <t>Total Operating costs</t>
  </si>
  <si>
    <t>Source: public sources</t>
  </si>
  <si>
    <t>Record date</t>
  </si>
  <si>
    <t>Payment date</t>
  </si>
  <si>
    <t>Dividend amount (total payment, USD mln)</t>
  </si>
  <si>
    <t>Dividend amount (USD per share)</t>
  </si>
  <si>
    <t>Dividend amount (USD per GDR)</t>
  </si>
  <si>
    <t>Comment</t>
  </si>
  <si>
    <t>Dividends declared</t>
  </si>
  <si>
    <t>Dividends</t>
  </si>
  <si>
    <t>2011 Interim dividend</t>
  </si>
  <si>
    <t>2012 Interim dividend</t>
  </si>
  <si>
    <t>2013 Interim dividend</t>
  </si>
  <si>
    <t>A special dividend out of the Company's retained earnings for the years 2008-2011</t>
  </si>
  <si>
    <t>A special dividend out of the Company's retained earnings for the year 2013</t>
  </si>
  <si>
    <t>Sales to third parties</t>
  </si>
  <si>
    <t>Inter-segment revenue</t>
  </si>
  <si>
    <t>Total revenue</t>
  </si>
  <si>
    <t xml:space="preserve">Administrative, selling and marketing expenses </t>
  </si>
  <si>
    <t>incl. interest income</t>
  </si>
  <si>
    <t>incl. interest expenses</t>
  </si>
  <si>
    <t>incl. change in the fair value of derivative instruments</t>
  </si>
  <si>
    <t>incl. foreign exchange gains/(losses)</t>
  </si>
  <si>
    <t>Share of profit in jointly controlled entities</t>
  </si>
  <si>
    <t>Profit after tax</t>
  </si>
  <si>
    <t>CAPEX* on cash basis</t>
  </si>
  <si>
    <t>Property, plant and equipment (including prepayments for PPE)</t>
  </si>
  <si>
    <t>Other non-current assets</t>
  </si>
  <si>
    <t xml:space="preserve">Trade and other receivables (including income tax prepayment) </t>
  </si>
  <si>
    <t xml:space="preserve">Cash and cash equivalents </t>
  </si>
  <si>
    <t>Total assets</t>
  </si>
  <si>
    <t>Long-term borrowings</t>
  </si>
  <si>
    <t>Other long-term liabilities</t>
  </si>
  <si>
    <t>Short-term borrowings</t>
  </si>
  <si>
    <t>Other short-term liabilities</t>
  </si>
  <si>
    <t>Total liabilities</t>
  </si>
  <si>
    <t>Russian Ports</t>
  </si>
  <si>
    <t>RUSSIAN PORTS SEGMENT</t>
  </si>
  <si>
    <t>VEOS</t>
  </si>
  <si>
    <t>FINNISH PORTS SEGMENT</t>
  </si>
  <si>
    <t>TOTAL OPERATING SEGMENTS</t>
  </si>
  <si>
    <t>HOLDINGS</t>
  </si>
  <si>
    <t>Total length of railway tracks, km</t>
  </si>
  <si>
    <t>Quay total length, m</t>
  </si>
  <si>
    <t xml:space="preserve"> Quay number</t>
  </si>
  <si>
    <t>Total</t>
  </si>
  <si>
    <t>St. Petersburg (and area)</t>
  </si>
  <si>
    <t>Inland Terminal</t>
  </si>
  <si>
    <t>LT</t>
  </si>
  <si>
    <t>Net Debt / Adjusted EBITDA</t>
  </si>
  <si>
    <t>Total Debt / Adjusted EBITDA</t>
  </si>
  <si>
    <t>Total Number of Shares</t>
  </si>
  <si>
    <t>Number of Non-Voting Shares</t>
  </si>
  <si>
    <t>Coupon rate</t>
  </si>
  <si>
    <t>State Registration Number</t>
  </si>
  <si>
    <t>4-01-03924-J</t>
  </si>
  <si>
    <t>4-02-03924-J</t>
  </si>
  <si>
    <t>Disposed Entities</t>
  </si>
  <si>
    <t>Owned</t>
  </si>
  <si>
    <t>Leased</t>
  </si>
  <si>
    <t>Interest paid (net) inc. proceeds from derivative financial instruments</t>
  </si>
  <si>
    <t>On cash basis</t>
  </si>
  <si>
    <t>CFO / Net Debt</t>
  </si>
  <si>
    <t>FFO / Net Debt</t>
  </si>
  <si>
    <t>Finance income</t>
  </si>
  <si>
    <t>Finance costs</t>
  </si>
  <si>
    <t>1H 19</t>
  </si>
  <si>
    <t>Import</t>
  </si>
  <si>
    <t>Note: Only 1/2 of cabotage volumes included for other Far East ports, as per Infranews and Drewry methodology.</t>
  </si>
  <si>
    <t>-</t>
  </si>
  <si>
    <t>Cash flow hedge reserve</t>
  </si>
  <si>
    <t>Investment in bank deposits with maturity over 90 days</t>
  </si>
  <si>
    <t>Contingent consideration paid</t>
  </si>
  <si>
    <t>Proceeds from the issue of shares to non-controlling interest</t>
  </si>
  <si>
    <t>Dividends paid to the owners of the Company</t>
  </si>
  <si>
    <t>Impairment of goodwill</t>
  </si>
  <si>
    <t>Bank deposits with maturity over 90 days</t>
  </si>
  <si>
    <t xml:space="preserve"> -</t>
  </si>
  <si>
    <t>Provision for other liabilities and charges</t>
  </si>
  <si>
    <t>Purchase of shareholdings from non-controlling interests</t>
  </si>
  <si>
    <t>Cash outflow for acquisitions of subsidiaries - net of cash acquired</t>
  </si>
  <si>
    <t>Loans granted to third parties</t>
  </si>
  <si>
    <t>Loan repayments received from third parties</t>
  </si>
  <si>
    <t>Expenses in relation to issued shares</t>
  </si>
  <si>
    <t>Amortisation of guarantees issued to parent company</t>
  </si>
  <si>
    <t>Proceeds from issue of share - net</t>
  </si>
  <si>
    <t>Capital contribution by shareholder</t>
  </si>
  <si>
    <t>Net cash paid directly by TIHL in the form of equity</t>
  </si>
  <si>
    <t>Cash paid to TIHL on formation of the Group</t>
  </si>
  <si>
    <t>Acquisition of interests in joint ventures</t>
  </si>
  <si>
    <t>Cash received from sale of shares to non-controlling interests</t>
  </si>
  <si>
    <t xml:space="preserve">Cash inflow from disposal of interests in joint ventures after restructuring </t>
  </si>
  <si>
    <t>Cash outflow on acquisition of additional interests in joint ventures after restructuring</t>
  </si>
  <si>
    <t>Finance lease repayments received from third parties</t>
  </si>
  <si>
    <t>Change in fair value of derivative financial instruments</t>
  </si>
  <si>
    <t>Profit from disposal of joint ventures</t>
  </si>
  <si>
    <t>BB+</t>
  </si>
  <si>
    <t>Cash Flow from Operating Activities (CFO)</t>
  </si>
  <si>
    <t>Funds from operations (FFO)</t>
  </si>
  <si>
    <t>Total Debt*</t>
  </si>
  <si>
    <t>Share of USD in Total Debt</t>
  </si>
  <si>
    <t>EUR</t>
  </si>
  <si>
    <t>EEK</t>
  </si>
  <si>
    <t>Loans</t>
  </si>
  <si>
    <t>Operating Cash Costs</t>
  </si>
  <si>
    <t xml:space="preserve">Cash Cost of Sales </t>
  </si>
  <si>
    <t>Adjusted EBITDA-to-interest coverage ratio</t>
  </si>
  <si>
    <t>x</t>
  </si>
  <si>
    <t>Russian Container Market Statistics, thousand TEU</t>
  </si>
  <si>
    <t>Other non-curent assets</t>
  </si>
  <si>
    <t>Consolidated income statement</t>
  </si>
  <si>
    <t>Global Ports (Finance) Plc's USD700 million Bonds</t>
  </si>
  <si>
    <t>First Container Terminal Inc's RUB15 billion Bonds</t>
  </si>
  <si>
    <t>Executive Management 
(Global Ports Management LLC)</t>
  </si>
  <si>
    <t>Vuossaari, Finland</t>
  </si>
  <si>
    <t>Containers, Ro-Ro, bulk cargo</t>
  </si>
  <si>
    <t>2011 Final dividend</t>
  </si>
  <si>
    <t>2012 Final dividend</t>
  </si>
  <si>
    <t>2013 Final dividend</t>
  </si>
  <si>
    <t>4-03-03924-J</t>
  </si>
  <si>
    <t>LLC Management Company Delo
LLC Delo-Center
LLC TransTerminal-Holding</t>
  </si>
  <si>
    <t>APM Terminals BV</t>
  </si>
  <si>
    <t xml:space="preserve">Polozio Enterprises Limited  </t>
  </si>
  <si>
    <t>ISIN Reg S</t>
  </si>
  <si>
    <t>ISIN 144A</t>
  </si>
  <si>
    <t>US37951Q1031</t>
  </si>
  <si>
    <t>Share ISIN</t>
  </si>
  <si>
    <t>CY0101972210</t>
  </si>
  <si>
    <t>37951Q202</t>
  </si>
  <si>
    <t>CUSIP Number</t>
  </si>
  <si>
    <t>B50P0M1</t>
  </si>
  <si>
    <t>SEDOL</t>
  </si>
  <si>
    <t>Depreciation of right-of-use assets</t>
  </si>
  <si>
    <t>Right-of-use assets</t>
  </si>
  <si>
    <t>Lease liabilities</t>
  </si>
  <si>
    <t>Cash received from bank deposits with maturity over over 90 days</t>
  </si>
  <si>
    <t>Fair value reserve</t>
  </si>
  <si>
    <t xml:space="preserve">Trade and other receivables (including income tax prepayment and cash deposits over 90 days) </t>
  </si>
  <si>
    <t xml:space="preserve">The opinions presented herein are based on general information gathered at the time of writing and are subject to change without notice. The contents of this document have not been verified by the Company or its auditors. The information contained herein is provided «as is» and «as available» and, therefore, you should bear risk associated with your use of or reliance on such information and making your own independent investigation and appraisal of the business and financial condition of the Company. No reliance may be placed for any purposes whatsoever on the information contained in this document or on its completeness, accuracy or fairness. The information contained in this document is subject to verification, completion and change, in particular, subject to the Company’s final audited or reviewed financial statements. At the same time, the Company undertakes no obligation to update this document, provide additional information in respect of it or correct any inaccuracies therein which may become apparent. Accordingly, no representation or warranty, express or implied is made or given by on behalf of the Company or any of its subsidiaries, shareholders, directors, officers or employees or any other person as to the accuracy, completeness or fairness of the information or opinions contained in this document. None of the Company nor any of its subsidiaries, shareholders, directors, officers or employees or any other person accepts any liability whatsoever for any loss howsoever arising from any use of this document or its contents or otherwise arising in connection therewith. </t>
  </si>
  <si>
    <t xml:space="preserve">This document does not constitute a prospectus or an advertisement of any Company’s securities. This document does not constitute an offer or invitation to sell, or any solicitation of any offer to subscribe for or purchase any Company’s securities. Nothing contained herein shall form the basis of any contract or commitment whatsoever. </t>
  </si>
  <si>
    <t xml:space="preserve">By accessing this document you agree to be bound by the terms and conditions in this disclaimer notice as a matter of your own free will. If you do not agree to or with the information provided in this disclaimer notice, do not access this document or any of its pages thereof. Accordingly, you agree that you, your affiliate, agents, employees and other representatives shall use information contained in this document solely for the purposes specified in this disclaimer notice and at all times in compliance with the applicable law and regulations. </t>
  </si>
  <si>
    <t xml:space="preserve">
</t>
  </si>
  <si>
    <t xml:space="preserve">
</t>
  </si>
  <si>
    <t xml:space="preserve">
</t>
  </si>
  <si>
    <r>
      <t>The information contained herein has been prepared by Global Ports Investments Plc (the “</t>
    </r>
    <r>
      <rPr>
        <b/>
        <sz val="11"/>
        <color theme="0" tint="-0.499984740745262"/>
        <rFont val="Arial"/>
        <family val="2"/>
        <charset val="204"/>
      </rPr>
      <t>Company</t>
    </r>
    <r>
      <rPr>
        <sz val="11"/>
        <color theme="0" tint="-0.499984740745262"/>
        <rFont val="Arial"/>
        <family val="2"/>
        <charset val="204"/>
      </rPr>
      <t>”). The main aim of this document is to offer a compilation of the Company's financial, operating, trading and other related data in an analyst-friendly manner for the purposes of the investors’ internal assessment of the Company’s operations.</t>
    </r>
  </si>
  <si>
    <t>Cash and cash equivalents and bank deposits with maturity over 90 days</t>
  </si>
  <si>
    <t>Legal, consulting, auditors' remuneration and other professional services</t>
  </si>
  <si>
    <t>x - data is not available or not prepared</t>
  </si>
  <si>
    <t>Non-current Lease liabilities</t>
  </si>
  <si>
    <t>CurrentLease liabilities</t>
  </si>
  <si>
    <t>Derivative financial instruments (non-current)</t>
  </si>
  <si>
    <t>Derivative financial instruments (current)</t>
  </si>
  <si>
    <t>Restated*</t>
  </si>
  <si>
    <t>Capacity utilisation (based on yard capacity)*</t>
  </si>
  <si>
    <t>Total Export</t>
  </si>
  <si>
    <t>Total Import</t>
  </si>
  <si>
    <t>Export of full containers</t>
  </si>
  <si>
    <t>Export of empty containers</t>
  </si>
  <si>
    <t>Import of full containers</t>
  </si>
  <si>
    <t>Import of empty containers</t>
  </si>
  <si>
    <t>Cash Administrative, selling and marketing expenses</t>
  </si>
  <si>
    <t>Adjusted EBITDA (LTM Adjusted EBITDA)</t>
  </si>
  <si>
    <t>* In 2010, Global Ports has changed the functional currency of its Cypriot holding companies from Russian Rubles to US dollars and has adjusted the comparative amounts for 2008 and 2009 as if the functional currency had always been US dollars.</t>
  </si>
  <si>
    <t>Restated**</t>
  </si>
  <si>
    <t>** Following changes in IFRS standards, Global Ports has applied the equity method of accounting for interests in joint ventures in 2014.  
Prior to 1 January 2014, the Group’s interests in jointly controlled entities were accounted for by using the proportionate method of consolidation. 
Global Ports has applied the new accounting policy as from 1 January 2013 and presented the restated amounts for the six-month period ended 30 June 2013 and the year ended 31 December 2013.</t>
  </si>
  <si>
    <t>Restated Illustrative combined***</t>
  </si>
  <si>
    <t>Restated Illustrative combined ***</t>
  </si>
  <si>
    <t>*** In 2014 Global Ports published Unaudited Selected Illustrative Combined Financial Metrics of Global Ports Group for the six-month period ended 30 June 2013 and for the year ended 31 December 2013. 
These metrics include combined results of Global Ports Group and NCC Group Limited and its consolidated subsidiaries following the Global Ports Group’s announcement on 27 December 2013 that it had completed the acquisition of 100% of the share capital of NCC Group. 
Global Ports is using the Illustrative Combined Financial Metrics as comparative figures for the actual results of operations for the six-month period ended 30 June 2014 and the year ended 31 December 2014.</t>
  </si>
  <si>
    <t xml:space="preserve"> Expenses by nature ****</t>
  </si>
  <si>
    <t>**** Due to differences in presentation of operating expenses in full-year financial statements and interim financial information:
"Auditor's remuneration" and “Legal, consulting and other professional services “ are disclosed together within "Legal, consulting, auditors' remuneration and other professional services"; 
 “Transportation expenses” are disclosed within "Other expenses" in "Administrative, selling and marketing expenses"; 
"Insurance" costs are disclosed within ''Other expenses" in both "Administrative, selling and marketing expenses" and "Cost of sales".</t>
  </si>
  <si>
    <t>The segment Data</t>
  </si>
  <si>
    <t>2H 19</t>
  </si>
  <si>
    <t>Ba2</t>
  </si>
  <si>
    <t>mln tonnes</t>
  </si>
  <si>
    <t>Disposals of subsidiaries (and assets held for sale), net of cash disposed</t>
  </si>
  <si>
    <t xml:space="preserve">Write off of property, plant and equipment </t>
  </si>
  <si>
    <t xml:space="preserve">Loss on extinguishment of financial liabilities </t>
  </si>
  <si>
    <t>Long-term lease liabilities</t>
  </si>
  <si>
    <t>Short-term lease liabilities</t>
  </si>
  <si>
    <t>1. 8 years
2. 2.5 years</t>
  </si>
  <si>
    <t>Other income</t>
  </si>
  <si>
    <t>х</t>
  </si>
  <si>
    <t>Nomination and Remuneration Committee*</t>
  </si>
  <si>
    <t>*The Nomination and Remuneration Committee was established in June 2019 following the merger of Nomination Committee and Remuneration Committee in order to simplify the work of the committees and Board members.</t>
  </si>
  <si>
    <t>Remuneration Committee*</t>
  </si>
  <si>
    <t>The data on 2019 relate to the meetings of former separate Nomination and former Remuneration committees and also to the meetings of the new merged Nomination and Remuneration Committee.</t>
  </si>
  <si>
    <t>Nomination and Remuneration Committee size</t>
  </si>
  <si>
    <t>Percent of Independent Directors on Nomination and Remuneration Committee</t>
  </si>
  <si>
    <t>Independent Nomination and Remuneration Committee Chairperson</t>
  </si>
  <si>
    <t>Number of Non-Executive Directors on Nomination and Remuneration Committee</t>
  </si>
  <si>
    <t>% Non Executive Directors on Nomination and Remuneration Committee</t>
  </si>
  <si>
    <t>Number of Nomination and Remuneration Committee Meetings</t>
  </si>
  <si>
    <t>Nomination and Remuneration Committee Meeting Attendance Percentage</t>
  </si>
  <si>
    <t>Strategy Committee size</t>
  </si>
  <si>
    <t>Percent of Independent Directors on Strategy Committee</t>
  </si>
  <si>
    <t>Independent Strategy Committee Chairperson</t>
  </si>
  <si>
    <t>Number of Non-Executive Directors on Strategy Committee</t>
  </si>
  <si>
    <t>% Non Executive Directors on Strategy Committee</t>
  </si>
  <si>
    <t>Number of Strategy Committee Meetings</t>
  </si>
  <si>
    <t>Strategy Committee Meeting Attendance %</t>
  </si>
  <si>
    <t>Number of Non-Executive Directors on Remuneration Committee</t>
  </si>
  <si>
    <t>Number of Part-Time Employees</t>
  </si>
  <si>
    <t>NUMBER_OF_PART_TIME_EMPLOYEES</t>
  </si>
  <si>
    <t>Employee Turnover %</t>
  </si>
  <si>
    <t>Employee Voluntary Turnover %</t>
  </si>
  <si>
    <t>Employee Involuntary Turnover %</t>
  </si>
  <si>
    <t>Employee Training Cost</t>
  </si>
  <si>
    <t>mln USD</t>
  </si>
  <si>
    <t>1H 20</t>
  </si>
  <si>
    <t>Rating affirmation at BB+  (07.07.2020)</t>
  </si>
  <si>
    <t>Rating upgrade to Ba2 from Ba3 (31.10.2019)</t>
  </si>
  <si>
    <t>Rating affirmation at ruA+ (14.05.2020)</t>
  </si>
  <si>
    <t>Rating affirmation at ruA+ (20.05.2020)</t>
  </si>
  <si>
    <t>* Based on H1 2020 throughput</t>
  </si>
  <si>
    <t xml:space="preserve">Global Ports Investor Relations </t>
  </si>
  <si>
    <t>Mikhail Grigoriev / Tatiana Khansuvarova</t>
  </si>
  <si>
    <t>+7 (812) 677 15 57</t>
  </si>
  <si>
    <t>+7 916 991 73 96</t>
  </si>
  <si>
    <t>E-mail: ir@globalports.com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</si>
</sst>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1">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quot;$&quot;* #,##0.00_);_(&quot;$&quot;* \(#,##0.00\);_(&quot;$&quot;* &quot;-&quot;??_);_(@_)"/>
    <numFmt numFmtId="170" formatCode="#,##0_);\(#,##0\);_(\-_)"/>
    <numFmt numFmtId="171" formatCode="_-* #,##0&quot;р.&quot;_-;\-* #,##0&quot;р.&quot;_-;_-* &quot;-&quot;&quot;р.&quot;_-;_-@_-"/>
    <numFmt numFmtId="172" formatCode="_-* #,##0_р_._-;\-* #,##0_р_._-;_-* &quot;-&quot;_р_._-;_-@_-"/>
    <numFmt numFmtId="173" formatCode="_-* #,##0.00&quot;р.&quot;_-;\-* #,##0.00&quot;р.&quot;_-;_-* &quot;-&quot;??&quot;р.&quot;_-;_-@_-"/>
    <numFmt numFmtId="174" formatCode="_-* #,##0.00_р_._-;\-* #,##0.00_р_._-;_-* &quot;-&quot;??_р_._-;_-@_-"/>
    <numFmt numFmtId="175" formatCode="_(* #,##0_);_(* \(#,##0\);_(* &quot;-&quot;??_);_(@_)"/>
    <numFmt numFmtId="176" formatCode="0.0%"/>
    <numFmt numFmtId="177" formatCode="_-* #,##0.00[$€-1]_-;\-* #,##0.00[$€-1]_-;_-* &quot;-&quot;??[$€-1]_-"/>
    <numFmt numFmtId="178" formatCode="0.0_)\%;\(0.0\)\%;0.0_)\%;@_)_%"/>
    <numFmt numFmtId="179" formatCode="0.0_)%;\(0.0&quot;)%&quot;;0.0_)%;@_)_%"/>
    <numFmt numFmtId="180" formatCode="0.0_)\%;\(0.0&quot;)%&quot;;0.0_)\%;@_)_%"/>
    <numFmt numFmtId="181" formatCode="#,##0.0_)_%;\(#,##0.0\)_%;0.0_)_%;@_)_%"/>
    <numFmt numFmtId="182" formatCode="#,##0.0_);\(#,##0.0\);#,##0.0_);@_)"/>
    <numFmt numFmtId="183" formatCode="&quot;£&quot;_(#,##0.00_);&quot;£&quot;\(#,##0.00\);&quot;£&quot;_(0.00_);@_)"/>
    <numFmt numFmtId="184" formatCode="\£_(#,##0.00_);&quot;£(&quot;#,##0.00\);\£_(0.00_);@_)"/>
    <numFmt numFmtId="185" formatCode="_(&quot;$&quot;* #,##0.0_);_(&quot;$&quot;* \(#,##0.0\);_(&quot;$&quot;* &quot;-&quot;??_);_(@_)"/>
    <numFmt numFmtId="186" formatCode="#,##0.00_);\(#,##0.00\);0.00_);@_)"/>
    <numFmt numFmtId="187" formatCode="\€_(#,##0.00_);\€\(#,##0.00\);\€_(0.00_);@_)"/>
    <numFmt numFmtId="188" formatCode="\€_(#,##0.00_);&quot;€(&quot;#,##0.00\);\€_(0.00_);@_)"/>
    <numFmt numFmtId="189" formatCode="0.0_)"/>
    <numFmt numFmtId="190" formatCode="#,##0.0_);[Red]\(#,##0.0\)"/>
    <numFmt numFmtId="191" formatCode="#,##0_)\x;\(#,##0\)\x;0_)\x;@_)_x"/>
    <numFmt numFmtId="192" formatCode="#,##0_)\x;\(#,##0&quot;)x&quot;;0_)\x;@_)_x"/>
    <numFmt numFmtId="193" formatCode="#,##0_)_x;\(#,##0\)_x;0_)_x;@_)_x"/>
    <numFmt numFmtId="194" formatCode="_-* #,##0.00\ [$€-1]_-;\-* #,##0.00\ [$€-1]_-;_-* &quot;-&quot;??\ [$€-1]_-;_-@_-"/>
    <numFmt numFmtId="195" formatCode="0.00;[Red]0.00"/>
    <numFmt numFmtId="196" formatCode="00000000"/>
    <numFmt numFmtId="197" formatCode="_(* #,##0_);_(* \(#,##0\);_(* &quot; - &quot;_);_(@_)"/>
    <numFmt numFmtId="198" formatCode="#,##0,;\-#,##0,"/>
    <numFmt numFmtId="199" formatCode="#,##0\ ;\(#,##0\)"/>
    <numFmt numFmtId="200" formatCode="#,##0.0_ ;\(#,##0.0\)"/>
    <numFmt numFmtId="201" formatCode="#,##0.0\x_);\(#,##0.0\x\)"/>
    <numFmt numFmtId="202" formatCode="&quot;£&quot;#,##0.00_ ;\(&quot;£&quot;#,##0.00\)"/>
    <numFmt numFmtId="203" formatCode="m/d/yy;@"/>
    <numFmt numFmtId="204" formatCode="\$#,##0.00_);&quot;($&quot;#,##0.00\)"/>
    <numFmt numFmtId="205" formatCode="_-* #,##0\ _P_t_s_-;\-* #,##0\ _P_t_s_-;_-* &quot;-&quot;\ _P_t_s_-;_-@_-"/>
    <numFmt numFmtId="206" formatCode="&quot;$&quot;#,##0"/>
    <numFmt numFmtId="207" formatCode="##,#0_;\(#,##0\);&quot;-&quot;??_);@"/>
    <numFmt numFmtId="208" formatCode="*(#,##0\);*#\,##0_);&quot;-&quot;??_);@"/>
    <numFmt numFmtId="209" formatCode="_*\(#,##0\);_*#,##0_);&quot;-&quot;??_);@"/>
    <numFmt numFmtId="210" formatCode="#,##0.0_);\(#,##0.0\);&quot;--&quot;_)"/>
    <numFmt numFmtId="211" formatCode="#,##0.00_);\(#,##0.00\);&quot;--&quot;_)"/>
    <numFmt numFmtId="212" formatCode="000"/>
    <numFmt numFmtId="213" formatCode="* \(#,##0\);* #,##0_);&quot;-&quot;??_);@"/>
    <numFmt numFmtId="214" formatCode="0.00\x"/>
    <numFmt numFmtId="215" formatCode="#,##0_);\(#,##0\);&quot;-&quot;??_);@"/>
    <numFmt numFmtId="216" formatCode="* #,##0_);* \(#,##0\);&quot;-&quot;??_);@"/>
    <numFmt numFmtId="217" formatCode="#,##0;\(#,##0\)"/>
    <numFmt numFmtId="218" formatCode="_(* #,##0_);_(* \(#,##0\);_(* &quot; - &quot;_);_(* @_)"/>
    <numFmt numFmtId="219" formatCode="_-* #,##0.00\ &quot;€&quot;_-;\-* #,##0.00\ &quot;€&quot;_-;_-* &quot;-&quot;??\ &quot;€&quot;_-;_-@_-"/>
    <numFmt numFmtId="220" formatCode="#,##0.0_);\(#,##0.0\)"/>
    <numFmt numFmtId="221" formatCode="0.00\ %"/>
    <numFmt numFmtId="222" formatCode="[=0]#;#,##0.0"/>
    <numFmt numFmtId="223" formatCode="_(&quot;MT&quot;* #,##0.00_);\(&quot;MT&quot;* #,##0.00\)"/>
    <numFmt numFmtId="224" formatCode="#,##0.0&quot;x&quot;_);\(#,##0.0&quot;x&quot;\)"/>
    <numFmt numFmtId="225" formatCode="_(* #,##0.0_);_(* \(#,##0.0\)"/>
    <numFmt numFmtId="226" formatCode="0.0"/>
    <numFmt numFmtId="227" formatCode="#,##0.0,,_);\(#,##0.0,,\);\-_)"/>
    <numFmt numFmtId="228" formatCode="#,##0_);\(#,##0\);\-_)"/>
    <numFmt numFmtId="229" formatCode="#,##0.0,_);\(#,##0.0,\);\-_)"/>
    <numFmt numFmtId="230" formatCode="#,##0.00_);\(#,##0.00\);\-_)"/>
    <numFmt numFmtId="231" formatCode="_(* #,##0_);\(* #,##0\)"/>
    <numFmt numFmtId="232" formatCode="0.0000%"/>
    <numFmt numFmtId="233" formatCode="0.0_)%;\(0.0\)%"/>
    <numFmt numFmtId="234" formatCode="0.00_)%;\(0.00\)%"/>
    <numFmt numFmtId="235" formatCode="* \(#,##0.0\);* #,##0.0_);&quot;-&quot;??_);@"/>
    <numFmt numFmtId="236" formatCode="* \(#,##0.00\);* #,##0.00_);&quot;-&quot;??_);@"/>
    <numFmt numFmtId="237" formatCode="_(* \(#,##0.0\);_(* #,##0.0_);_(* &quot;-&quot;_);_(@_)"/>
    <numFmt numFmtId="238" formatCode="_(* \(#,##0.00\);_(* #,##0.00_);_(* &quot;-&quot;_);_(@_)"/>
    <numFmt numFmtId="239" formatCode="_(* \(#,##0.000\);_(* #,##0.000_);_(* &quot;-&quot;_);_(@_)"/>
    <numFmt numFmtId="240" formatCode="#,##0.000000;[Red]#,##0.000000"/>
    <numFmt numFmtId="241" formatCode="#,##0.0%_);\(#,##0.0%\);&quot;--&quot;\%_)"/>
    <numFmt numFmtId="242" formatCode="#,##0.00%_);\(#,##0.00%\);&quot;--&quot;\%_)"/>
    <numFmt numFmtId="243" formatCode="0.000000"/>
    <numFmt numFmtId="244" formatCode="\$#,"/>
    <numFmt numFmtId="245" formatCode="_ * #,##0_ ;_ * \(#,##0_ ;_ * &quot;-&quot;_ ;_ @_ "/>
    <numFmt numFmtId="246" formatCode="&quot;$&quot;#,##0.000000;[Red]&quot;$&quot;#,##0.000000"/>
    <numFmt numFmtId="247" formatCode="#,##0.0000000_$"/>
    <numFmt numFmtId="248" formatCode="&quot;$&quot;\ #,##0.00"/>
    <numFmt numFmtId="249" formatCode="_ * #,##0_ ;_ * \(#,##0_)\ ;_ * &quot;-&quot;_ ;_ @_ "/>
    <numFmt numFmtId="250" formatCode="&quot;$&quot;\ #,##0"/>
    <numFmt numFmtId="251" formatCode="&quot;$&quot;"/>
    <numFmt numFmtId="252" formatCode="_._.* #,##0_)_%;_._.* \(#,##0\)_%;_._.* \ _)_%"/>
    <numFmt numFmtId="253" formatCode="_-[$$-409]* #,##0.00_ ;_-[$$-409]* \-#,##0.00\ ;_-[$$-409]* &quot;-&quot;??_ ;_-@_ "/>
    <numFmt numFmtId="254" formatCode="#,##0;\-\ #,##0"/>
    <numFmt numFmtId="255" formatCode="_(&quot;р.&quot;* #,##0_);_(&quot;р.&quot;* \(#,##0\);_(&quot;р.&quot;* &quot;-&quot;_);_(@_)"/>
    <numFmt numFmtId="256" formatCode="_(&quot;р.&quot;* #,##0.00_);_(&quot;р.&quot;* \(#,##0.00\);_(&quot;р.&quot;* &quot;-&quot;??_);_(@_)"/>
    <numFmt numFmtId="257" formatCode="#,##0.0"/>
    <numFmt numFmtId="258" formatCode="#,##0.0_);\(#,##0.0\);_(\-_)"/>
    <numFmt numFmtId="259" formatCode="#,##0.00_);\(#,##0.00\);_(\-_)"/>
    <numFmt numFmtId="260" formatCode="_(* #,##0.0_);_(* \(#,##0.0\);_(* \-_);_(@_)"/>
    <numFmt numFmtId="261" formatCode="yyyy"/>
    <numFmt numFmtId="262" formatCode="0.000%"/>
  </numFmts>
  <fonts count="376">
    <font>
      <sz val="11"/>
      <color theme="1"/>
      <name val="Calibri"/>
      <family val="2"/>
      <charset val="204"/>
      <scheme val="minor"/>
    </font>
    <font>
      <sz val="11"/>
      <color theme="1"/>
      <name val="Calibri"/>
      <family val="2"/>
      <charset val="204"/>
      <scheme val="minor"/>
    </font>
    <font>
      <sz val="12"/>
      <name val="Times New Roman"/>
      <family val="1"/>
    </font>
    <font>
      <sz val="12"/>
      <color indexed="8"/>
      <name val="Times New Roman"/>
      <family val="1"/>
    </font>
    <font>
      <i/>
      <sz val="12"/>
      <color indexed="8"/>
      <name val="Times New Roman"/>
      <family val="1"/>
    </font>
    <font>
      <sz val="12"/>
      <name val="Arial"/>
      <family val="2"/>
      <charset val="204"/>
    </font>
    <font>
      <sz val="9"/>
      <color theme="1"/>
      <name val="Arial"/>
      <family val="2"/>
      <charset val="204"/>
    </font>
    <font>
      <sz val="9"/>
      <name val="Arial"/>
      <family val="2"/>
      <charset val="204"/>
    </font>
    <font>
      <u/>
      <sz val="11"/>
      <color theme="10"/>
      <name val="Calibri"/>
      <family val="2"/>
      <charset val="204"/>
      <scheme val="minor"/>
    </font>
    <font>
      <b/>
      <sz val="9"/>
      <color theme="0"/>
      <name val="Arial"/>
      <family val="2"/>
      <charset val="204"/>
    </font>
    <font>
      <b/>
      <sz val="9"/>
      <color theme="1"/>
      <name val="Arial"/>
      <family val="2"/>
      <charset val="204"/>
    </font>
    <font>
      <u/>
      <sz val="9"/>
      <color theme="10"/>
      <name val="Arial"/>
      <family val="2"/>
      <charset val="204"/>
    </font>
    <font>
      <sz val="11"/>
      <color theme="1"/>
      <name val="Calibri"/>
      <family val="2"/>
      <scheme val="minor"/>
    </font>
    <font>
      <sz val="10"/>
      <name val="Arial Cyr"/>
      <charset val="204"/>
    </font>
    <font>
      <sz val="10"/>
      <name val="Arial"/>
      <family val="2"/>
    </font>
    <font>
      <sz val="11"/>
      <color rgb="FF000000"/>
      <name val="Calibri"/>
      <family val="2"/>
      <charset val="204"/>
      <scheme val="minor"/>
    </font>
    <font>
      <b/>
      <sz val="18"/>
      <color theme="3"/>
      <name val="Calibri Light"/>
      <family val="2"/>
      <scheme val="major"/>
    </font>
    <font>
      <b/>
      <sz val="8"/>
      <name val="Arial"/>
      <family val="2"/>
      <charset val="204"/>
    </font>
    <font>
      <b/>
      <sz val="8"/>
      <name val="Arial"/>
      <family val="2"/>
    </font>
    <font>
      <sz val="9"/>
      <name val="Arial"/>
      <family val="2"/>
    </font>
    <font>
      <b/>
      <sz val="9"/>
      <name val="Arial"/>
      <family val="2"/>
    </font>
    <font>
      <sz val="10"/>
      <name val="Arial"/>
      <family val="2"/>
      <charset val="204"/>
    </font>
    <font>
      <sz val="8"/>
      <color indexed="12"/>
      <name val="Arial"/>
      <family val="2"/>
    </font>
    <font>
      <sz val="10"/>
      <color indexed="8"/>
      <name val="Times New Roman"/>
      <family val="1"/>
    </font>
    <font>
      <sz val="10"/>
      <name val="Times New Roman"/>
      <family val="1"/>
    </font>
    <font>
      <sz val="8"/>
      <name val="Times New Roman"/>
      <family val="1"/>
    </font>
    <font>
      <b/>
      <sz val="10"/>
      <color indexed="8"/>
      <name val="Times New Roman"/>
      <family val="1"/>
    </font>
    <font>
      <sz val="10"/>
      <color indexed="8"/>
      <name val="Arial"/>
      <family val="2"/>
    </font>
    <font>
      <sz val="8"/>
      <color indexed="17"/>
      <name val="Times New Roman"/>
      <family val="1"/>
    </font>
    <font>
      <sz val="10"/>
      <color indexed="8"/>
      <name val="MS Sans Serif"/>
      <family val="2"/>
    </font>
    <font>
      <sz val="8"/>
      <name val="Arial"/>
      <family val="2"/>
    </font>
    <font>
      <sz val="9"/>
      <color indexed="46"/>
      <name val="Times New Roman"/>
      <family val="1"/>
    </font>
    <font>
      <sz val="12"/>
      <color indexed="12"/>
      <name val="Times New Roman"/>
      <family val="1"/>
    </font>
    <font>
      <u/>
      <sz val="8.4"/>
      <color indexed="12"/>
      <name val="Arial"/>
      <family val="2"/>
    </font>
    <font>
      <sz val="12"/>
      <name val="???"/>
      <family val="1"/>
    </font>
    <font>
      <sz val="10"/>
      <name val="Arial MT"/>
    </font>
    <font>
      <sz val="10"/>
      <name val="Helv"/>
      <family val="2"/>
    </font>
    <font>
      <b/>
      <sz val="14"/>
      <color indexed="12"/>
      <name val="Arial"/>
      <family val="2"/>
    </font>
    <font>
      <sz val="10"/>
      <name val="Helv"/>
    </font>
    <font>
      <sz val="10"/>
      <name val="Helv"/>
      <charset val="204"/>
    </font>
    <font>
      <sz val="8"/>
      <name val="Palatino"/>
      <family val="1"/>
    </font>
    <font>
      <b/>
      <sz val="22"/>
      <color indexed="18"/>
      <name val="Arial"/>
      <family val="2"/>
    </font>
    <font>
      <b/>
      <sz val="22"/>
      <color indexed="18"/>
      <name val="Arial"/>
      <family val="2"/>
      <charset val="204"/>
    </font>
    <font>
      <sz val="12"/>
      <name val="Arial"/>
      <family val="2"/>
    </font>
    <font>
      <b/>
      <sz val="14"/>
      <color indexed="20"/>
      <name val="Arial"/>
      <family val="2"/>
    </font>
    <font>
      <b/>
      <sz val="14"/>
      <color indexed="18"/>
      <name val="Arial"/>
      <family val="2"/>
    </font>
    <font>
      <b/>
      <sz val="14"/>
      <color indexed="18"/>
      <name val="Arial"/>
      <family val="2"/>
      <charset val="204"/>
    </font>
    <font>
      <sz val="9"/>
      <color indexed="8"/>
      <name val="Arial"/>
      <family val="2"/>
    </font>
    <font>
      <b/>
      <sz val="9"/>
      <color indexed="9"/>
      <name val="Arial"/>
      <family val="2"/>
    </font>
    <font>
      <b/>
      <sz val="10"/>
      <color indexed="18"/>
      <name val="Arial"/>
      <family val="2"/>
    </font>
    <font>
      <b/>
      <sz val="10"/>
      <color indexed="18"/>
      <name val="Arial"/>
      <family val="2"/>
      <charset val="204"/>
    </font>
    <font>
      <b/>
      <u val="singleAccounting"/>
      <sz val="10"/>
      <color indexed="18"/>
      <name val="Arial"/>
      <family val="2"/>
    </font>
    <font>
      <b/>
      <u/>
      <sz val="10"/>
      <color indexed="18"/>
      <name val="Arial"/>
      <family val="2"/>
    </font>
    <font>
      <sz val="10"/>
      <name val="Frutiger 45 Light"/>
      <family val="2"/>
    </font>
    <font>
      <sz val="1"/>
      <color indexed="16"/>
      <name val="Courier"/>
      <family val="3"/>
    </font>
    <font>
      <b/>
      <sz val="1"/>
      <color indexed="16"/>
      <name val="Courier"/>
      <family val="3"/>
    </font>
    <font>
      <sz val="8"/>
      <name val="Tms Rmn"/>
    </font>
    <font>
      <sz val="9"/>
      <name val="Helv"/>
    </font>
    <font>
      <sz val="10"/>
      <name val="MS Sans Serif"/>
      <family val="2"/>
    </font>
    <font>
      <sz val="9"/>
      <name val="Courier"/>
      <family val="3"/>
    </font>
    <font>
      <sz val="8"/>
      <name val="Antique Olive"/>
      <family val="2"/>
    </font>
    <font>
      <sz val="8"/>
      <name val="Geneva"/>
    </font>
    <font>
      <b/>
      <sz val="10"/>
      <name val="Times New Roman"/>
      <family val="1"/>
    </font>
    <font>
      <sz val="8"/>
      <color indexed="17"/>
      <name val="Arial"/>
      <family val="2"/>
    </font>
    <font>
      <sz val="10"/>
      <name val="Dutch"/>
    </font>
    <font>
      <sz val="10"/>
      <name val="MS Sans Serif"/>
      <family val="2"/>
      <charset val="204"/>
    </font>
    <font>
      <sz val="14"/>
      <name val="Times New Roman"/>
      <family val="1"/>
    </font>
    <font>
      <sz val="18"/>
      <name val="Times New Roman"/>
      <family val="1"/>
    </font>
    <font>
      <i/>
      <u/>
      <sz val="10"/>
      <name val="Times New Roman"/>
      <family val="1"/>
    </font>
    <font>
      <sz val="11"/>
      <color indexed="8"/>
      <name val="Calibri"/>
      <family val="2"/>
      <charset val="204"/>
    </font>
    <font>
      <sz val="11"/>
      <color indexed="9"/>
      <name val="Calibri"/>
      <family val="2"/>
      <charset val="204"/>
    </font>
    <font>
      <sz val="12"/>
      <name val="Arial MT"/>
    </font>
    <font>
      <sz val="9"/>
      <name val="Times New Roman"/>
      <family val="1"/>
    </font>
    <font>
      <sz val="12"/>
      <color indexed="8"/>
      <name val="Arial MT"/>
      <family val="2"/>
    </font>
    <font>
      <sz val="12"/>
      <name val="Helv"/>
    </font>
    <font>
      <sz val="11"/>
      <color indexed="8"/>
      <name val="Calibri"/>
      <family val="2"/>
    </font>
    <font>
      <sz val="11"/>
      <color indexed="9"/>
      <name val="Calibri"/>
      <family val="2"/>
    </font>
    <font>
      <u val="singleAccounting"/>
      <sz val="10"/>
      <name val="Arial"/>
      <family val="2"/>
    </font>
    <font>
      <b/>
      <sz val="12"/>
      <color indexed="8"/>
      <name val="Times New Roman"/>
      <family val="1"/>
    </font>
    <font>
      <sz val="10"/>
      <name val="Book Antiqua"/>
      <family val="1"/>
    </font>
    <font>
      <b/>
      <sz val="12"/>
      <color indexed="10"/>
      <name val="Palatino"/>
      <family val="1"/>
    </font>
    <font>
      <sz val="10"/>
      <color indexed="12"/>
      <name val="Times New Roman"/>
      <family val="1"/>
    </font>
    <font>
      <sz val="8"/>
      <name val="Arial MT"/>
    </font>
    <font>
      <sz val="8"/>
      <color indexed="12"/>
      <name val="Helv"/>
    </font>
    <font>
      <sz val="10"/>
      <name val="Geneva"/>
    </font>
    <font>
      <b/>
      <sz val="14"/>
      <color indexed="10"/>
      <name val="Wingdings"/>
      <charset val="2"/>
    </font>
    <font>
      <sz val="10"/>
      <name val="Trebuchet MS"/>
      <family val="2"/>
    </font>
    <font>
      <sz val="10"/>
      <color indexed="12"/>
      <name val="Arial"/>
      <family val="2"/>
    </font>
    <font>
      <sz val="10"/>
      <color indexed="12"/>
      <name val="Arial"/>
      <family val="2"/>
      <charset val="204"/>
    </font>
    <font>
      <sz val="11"/>
      <color indexed="37"/>
      <name val="Calibri"/>
      <family val="2"/>
    </font>
    <font>
      <sz val="8"/>
      <color indexed="18"/>
      <name val="Times New Roman"/>
      <family val="1"/>
    </font>
    <font>
      <sz val="25"/>
      <name val="Times New Roman"/>
      <family val="1"/>
    </font>
    <font>
      <strike/>
      <sz val="8"/>
      <name val="Arial"/>
      <family val="2"/>
    </font>
    <font>
      <sz val="8"/>
      <color indexed="8"/>
      <name val="Arial"/>
      <family val="2"/>
    </font>
    <font>
      <sz val="8"/>
      <name val="Helv"/>
    </font>
    <font>
      <sz val="12"/>
      <name val="Tms Rmn"/>
    </font>
    <font>
      <b/>
      <sz val="10"/>
      <color indexed="8"/>
      <name val="Arial"/>
      <family val="2"/>
    </font>
    <font>
      <b/>
      <sz val="12"/>
      <name val="Times New Roman"/>
      <family val="1"/>
    </font>
    <font>
      <b/>
      <sz val="8"/>
      <color indexed="8"/>
      <name val="Arial"/>
      <family val="2"/>
    </font>
    <font>
      <sz val="10"/>
      <name val="Wachovia FG"/>
    </font>
    <font>
      <b/>
      <sz val="8"/>
      <color indexed="24"/>
      <name val="Arial"/>
      <family val="2"/>
    </font>
    <font>
      <b/>
      <sz val="9"/>
      <color indexed="24"/>
      <name val="Arial"/>
      <family val="2"/>
    </font>
    <font>
      <b/>
      <sz val="11"/>
      <color indexed="24"/>
      <name val="Arial"/>
      <family val="2"/>
    </font>
    <font>
      <b/>
      <u/>
      <sz val="8"/>
      <color indexed="8"/>
      <name val="Times New Roman"/>
      <family val="1"/>
    </font>
    <font>
      <b/>
      <sz val="8"/>
      <color indexed="12"/>
      <name val="Arial"/>
      <family val="2"/>
    </font>
    <font>
      <sz val="24"/>
      <name val="Times New Roman"/>
      <family val="1"/>
    </font>
    <font>
      <sz val="9"/>
      <color indexed="17"/>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0"/>
      <color indexed="22"/>
      <name val="Arial"/>
      <family val="2"/>
    </font>
    <font>
      <b/>
      <sz val="18"/>
      <color indexed="22"/>
      <name val="Arial"/>
      <family val="2"/>
    </font>
    <font>
      <b/>
      <sz val="12"/>
      <color indexed="22"/>
      <name val="Arial"/>
      <family val="2"/>
    </font>
    <font>
      <b/>
      <sz val="11"/>
      <color indexed="17"/>
      <name val="Calibri"/>
      <family val="2"/>
    </font>
    <font>
      <b/>
      <sz val="10"/>
      <name val="Helv"/>
    </font>
    <font>
      <b/>
      <sz val="9"/>
      <color indexed="8"/>
      <name val="Times New Roman"/>
      <family val="1"/>
    </font>
    <font>
      <b/>
      <sz val="10"/>
      <color indexed="17"/>
      <name val="Times New Roman"/>
      <family val="1"/>
    </font>
    <font>
      <b/>
      <sz val="11"/>
      <name val="Times New Roman"/>
      <family val="1"/>
    </font>
    <font>
      <sz val="11"/>
      <name val="Times New Roman"/>
      <family val="1"/>
    </font>
    <font>
      <b/>
      <sz val="10"/>
      <name val="Arial"/>
      <family val="2"/>
    </font>
    <font>
      <sz val="10"/>
      <color indexed="18"/>
      <name val="Times New Roman"/>
      <family val="1"/>
    </font>
    <font>
      <b/>
      <sz val="11"/>
      <color indexed="9"/>
      <name val="Calibri"/>
      <family val="2"/>
    </font>
    <font>
      <sz val="10"/>
      <name val="Courier New"/>
      <family val="3"/>
    </font>
    <font>
      <b/>
      <sz val="8"/>
      <name val="Book Antiqua"/>
      <family val="1"/>
    </font>
    <font>
      <b/>
      <sz val="8"/>
      <name val="GillSans"/>
      <family val="2"/>
    </font>
    <font>
      <b/>
      <u val="singleAccounting"/>
      <sz val="8"/>
      <name val="Arial"/>
      <family val="2"/>
    </font>
    <font>
      <b/>
      <sz val="10"/>
      <color indexed="9"/>
      <name val="Arial"/>
      <family val="2"/>
    </font>
    <font>
      <b/>
      <sz val="8"/>
      <color indexed="9"/>
      <name val="Arial"/>
      <family val="2"/>
    </font>
    <font>
      <b/>
      <u val="singleAccounting"/>
      <sz val="8"/>
      <color indexed="8"/>
      <name val="Arial"/>
      <family val="2"/>
    </font>
    <font>
      <b/>
      <sz val="8"/>
      <color indexed="8"/>
      <name val="Courier New"/>
      <family val="3"/>
    </font>
    <font>
      <b/>
      <sz val="10"/>
      <name val="Tms Rmn"/>
    </font>
    <font>
      <sz val="10"/>
      <color indexed="39"/>
      <name val="Century Schoolbook"/>
      <family val="1"/>
    </font>
    <font>
      <sz val="11"/>
      <color indexed="63"/>
      <name val="Calibri"/>
      <family val="2"/>
    </font>
    <font>
      <sz val="11"/>
      <color indexed="63"/>
      <name val="Calibri"/>
      <family val="2"/>
      <charset val="204"/>
    </font>
    <font>
      <sz val="10"/>
      <color indexed="24"/>
      <name val="Arial"/>
      <family val="2"/>
    </font>
    <font>
      <sz val="10"/>
      <name val="BERNHARD"/>
    </font>
    <font>
      <sz val="12"/>
      <name val="Courier New"/>
      <family val="3"/>
    </font>
    <font>
      <sz val="7"/>
      <name val="Times"/>
      <family val="1"/>
    </font>
    <font>
      <b/>
      <sz val="10"/>
      <color indexed="8"/>
      <name val="Helv"/>
    </font>
    <font>
      <sz val="7"/>
      <name val="Small Fonts"/>
      <family val="2"/>
    </font>
    <font>
      <sz val="10"/>
      <name val="MS Serif"/>
      <family val="1"/>
    </font>
    <font>
      <b/>
      <sz val="8"/>
      <name val="Helv"/>
    </font>
    <font>
      <sz val="10"/>
      <name val="Tms Rmn"/>
    </font>
    <font>
      <sz val="7"/>
      <name val="Arial"/>
      <family val="2"/>
    </font>
    <font>
      <sz val="11"/>
      <color indexed="12"/>
      <name val="Book Antiqua"/>
      <family val="1"/>
    </font>
    <font>
      <b/>
      <sz val="9"/>
      <color indexed="9"/>
      <name val="Arial"/>
      <family val="2"/>
      <charset val="204"/>
    </font>
    <font>
      <sz val="9"/>
      <color indexed="17"/>
      <name val="Times new omran"/>
    </font>
    <font>
      <b/>
      <sz val="12"/>
      <color indexed="9"/>
      <name val="Arial"/>
      <family val="2"/>
    </font>
    <font>
      <sz val="14"/>
      <color indexed="14"/>
      <name val="Arial"/>
      <family val="2"/>
    </font>
    <font>
      <sz val="10"/>
      <name val="Goudy SSi"/>
      <family val="1"/>
    </font>
    <font>
      <u/>
      <sz val="8"/>
      <color indexed="12"/>
      <name val="Times New Roman"/>
      <family val="1"/>
    </font>
    <font>
      <sz val="8"/>
      <name val="Arial"/>
      <family val="2"/>
      <charset val="204"/>
    </font>
    <font>
      <sz val="1"/>
      <color indexed="8"/>
      <name val="Courier"/>
      <family val="3"/>
    </font>
    <font>
      <sz val="8"/>
      <color indexed="18"/>
      <name val="MS Sans Serif"/>
      <family val="2"/>
    </font>
    <font>
      <sz val="8"/>
      <color indexed="12"/>
      <name val="Times New Roman"/>
      <family val="1"/>
    </font>
    <font>
      <b/>
      <u val="double"/>
      <sz val="9"/>
      <name val="Arial"/>
      <family val="2"/>
    </font>
    <font>
      <u val="doubleAccounting"/>
      <sz val="10"/>
      <name val="Arial"/>
      <family val="2"/>
    </font>
    <font>
      <sz val="5"/>
      <name val="Arial"/>
      <family val="2"/>
    </font>
    <font>
      <b/>
      <sz val="11"/>
      <color indexed="8"/>
      <name val="Calibri"/>
      <family val="2"/>
    </font>
    <font>
      <sz val="11"/>
      <name val="Arial"/>
      <family val="2"/>
    </font>
    <font>
      <b/>
      <sz val="1"/>
      <color indexed="8"/>
      <name val="Courier"/>
      <family val="3"/>
    </font>
    <font>
      <sz val="10"/>
      <color indexed="16"/>
      <name val="MS Serif"/>
      <family val="1"/>
    </font>
    <font>
      <b/>
      <sz val="8"/>
      <name val="Times New Roman"/>
      <family val="1"/>
    </font>
    <font>
      <b/>
      <sz val="8"/>
      <color indexed="9"/>
      <name val="Times New Roman"/>
      <family val="1"/>
    </font>
    <font>
      <i/>
      <sz val="1"/>
      <color indexed="8"/>
      <name val="Courier"/>
      <family val="3"/>
    </font>
    <font>
      <b/>
      <i/>
      <sz val="1"/>
      <color indexed="8"/>
      <name val="Courier"/>
      <family val="3"/>
    </font>
    <font>
      <b/>
      <sz val="9"/>
      <color indexed="22"/>
      <name val="Times New Roman"/>
      <family val="1"/>
    </font>
    <font>
      <b/>
      <i/>
      <sz val="14"/>
      <name val="Tms Rmn"/>
    </font>
    <font>
      <i/>
      <sz val="6"/>
      <name val="Times New Roman"/>
      <family val="1"/>
    </font>
    <font>
      <sz val="10"/>
      <color indexed="42"/>
      <name val="Times New Roman"/>
      <family val="1"/>
    </font>
    <font>
      <i/>
      <sz val="10"/>
      <color indexed="42"/>
      <name val="Times New Roman"/>
      <family val="1"/>
    </font>
    <font>
      <u/>
      <sz val="8"/>
      <name val="Times New Roman"/>
      <family val="1"/>
    </font>
    <font>
      <sz val="10"/>
      <color indexed="48"/>
      <name val="Helvetica"/>
      <family val="2"/>
    </font>
    <font>
      <b/>
      <sz val="14"/>
      <color indexed="10"/>
      <name val="FrGothHeavy"/>
      <family val="2"/>
    </font>
    <font>
      <b/>
      <sz val="8"/>
      <name val="Palatino"/>
      <family val="1"/>
    </font>
    <font>
      <b/>
      <sz val="15"/>
      <color indexed="62"/>
      <name val="Calibri"/>
      <family val="2"/>
    </font>
    <font>
      <b/>
      <sz val="13"/>
      <color indexed="62"/>
      <name val="Calibri"/>
      <family val="2"/>
    </font>
    <font>
      <b/>
      <sz val="11"/>
      <color indexed="62"/>
      <name val="Calibri"/>
      <family val="2"/>
    </font>
    <font>
      <b/>
      <i/>
      <sz val="18"/>
      <color indexed="12"/>
      <name val="Goudy SSi"/>
      <family val="1"/>
    </font>
    <font>
      <b/>
      <sz val="16"/>
      <color indexed="12"/>
      <name val="Goudy SSi"/>
      <family val="1"/>
    </font>
    <font>
      <b/>
      <sz val="8"/>
      <name val="MS Sans Serif"/>
      <family val="2"/>
    </font>
    <font>
      <b/>
      <sz val="7"/>
      <color indexed="8"/>
      <name val="Tms Rmn"/>
    </font>
    <font>
      <sz val="7"/>
      <color indexed="8"/>
      <name val="Tms Rmn"/>
    </font>
    <font>
      <sz val="11"/>
      <color indexed="48"/>
      <name val="Calibri"/>
      <family val="2"/>
    </font>
    <font>
      <sz val="10"/>
      <color indexed="12"/>
      <name val="Geneva"/>
    </font>
    <font>
      <sz val="10"/>
      <color indexed="8"/>
      <name val="Helv"/>
    </font>
    <font>
      <sz val="1"/>
      <color indexed="9"/>
      <name val="Symbol"/>
      <family val="1"/>
      <charset val="2"/>
    </font>
    <font>
      <i/>
      <sz val="8"/>
      <name val="Times New Roman"/>
      <family val="1"/>
    </font>
    <font>
      <i/>
      <u/>
      <sz val="10"/>
      <color indexed="8"/>
      <name val="Arial"/>
      <family val="2"/>
    </font>
    <font>
      <i/>
      <sz val="10"/>
      <color indexed="8"/>
      <name val="Arial"/>
      <family val="2"/>
    </font>
    <font>
      <sz val="10"/>
      <name val="Geneva"/>
      <family val="2"/>
    </font>
    <font>
      <sz val="8"/>
      <name val="Geneva"/>
      <family val="2"/>
    </font>
    <font>
      <sz val="10"/>
      <name val="GillSans Light"/>
      <family val="2"/>
    </font>
    <font>
      <b/>
      <sz val="22"/>
      <color indexed="16"/>
      <name val="Arial"/>
      <family val="2"/>
    </font>
    <font>
      <b/>
      <sz val="10"/>
      <name val="Palatino"/>
      <family val="1"/>
    </font>
    <font>
      <sz val="10"/>
      <color indexed="14"/>
      <name val="Arial"/>
      <family val="2"/>
    </font>
    <font>
      <sz val="10"/>
      <color indexed="17"/>
      <name val="Geneva"/>
    </font>
    <font>
      <sz val="11"/>
      <color indexed="17"/>
      <name val="Calibri"/>
      <family val="2"/>
    </font>
    <font>
      <sz val="8"/>
      <name val="Courier"/>
      <family val="3"/>
    </font>
    <font>
      <sz val="8"/>
      <color indexed="8"/>
      <name val="Helv"/>
    </font>
    <font>
      <b/>
      <sz val="12"/>
      <color indexed="8"/>
      <name val="Arial"/>
      <family val="2"/>
    </font>
    <font>
      <sz val="8"/>
      <color indexed="9"/>
      <name val="Tahoma"/>
      <family val="2"/>
    </font>
    <font>
      <sz val="10"/>
      <color indexed="20"/>
      <name val="Times New Roman"/>
      <family val="1"/>
    </font>
    <font>
      <b/>
      <u/>
      <sz val="9"/>
      <color indexed="9"/>
      <name val="Arial"/>
      <family val="2"/>
      <charset val="204"/>
    </font>
    <font>
      <sz val="10"/>
      <color indexed="17"/>
      <name val="Arial"/>
      <family val="2"/>
    </font>
    <font>
      <b/>
      <u val="singleAccounting"/>
      <sz val="8"/>
      <color indexed="8"/>
      <name val="Verdana"/>
      <family val="2"/>
    </font>
    <font>
      <b/>
      <sz val="12"/>
      <color indexed="8"/>
      <name val="Verdana"/>
      <family val="2"/>
    </font>
    <font>
      <b/>
      <i/>
      <sz val="16"/>
      <name val="Helv"/>
    </font>
    <font>
      <sz val="9"/>
      <name val="Calibri"/>
      <family val="2"/>
    </font>
    <font>
      <sz val="10"/>
      <name val="Palatino"/>
      <family val="1"/>
    </font>
    <font>
      <b/>
      <sz val="10"/>
      <name val="Helvetica"/>
      <family val="2"/>
    </font>
    <font>
      <u/>
      <sz val="10"/>
      <name val="Helvetica"/>
      <family val="2"/>
    </font>
    <font>
      <sz val="8"/>
      <name val="Helvetica"/>
      <family val="2"/>
    </font>
    <font>
      <sz val="10"/>
      <name val="Helvetica"/>
      <family val="2"/>
    </font>
    <font>
      <sz val="10"/>
      <name val="Arial CE"/>
      <family val="2"/>
      <charset val="238"/>
    </font>
    <font>
      <sz val="9"/>
      <name val="Verdana"/>
      <family val="2"/>
    </font>
    <font>
      <b/>
      <sz val="13.5"/>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i/>
      <sz val="22"/>
      <color indexed="8"/>
      <name val="Times New Roman"/>
      <family val="1"/>
    </font>
    <font>
      <u/>
      <sz val="10"/>
      <color indexed="17"/>
      <name val="Times New Roman"/>
      <family val="1"/>
    </font>
    <font>
      <b/>
      <sz val="26"/>
      <name val="Times New Roman"/>
      <family val="1"/>
    </font>
    <font>
      <sz val="10"/>
      <color indexed="16"/>
      <name val="Helvetica-Black"/>
    </font>
    <font>
      <sz val="16"/>
      <name val="Arial"/>
      <family val="2"/>
    </font>
    <font>
      <sz val="9"/>
      <color indexed="10"/>
      <name val="Geneva"/>
    </font>
    <font>
      <b/>
      <sz val="14"/>
      <name val="Times New Roman"/>
      <family val="1"/>
    </font>
    <font>
      <sz val="10"/>
      <color indexed="10"/>
      <name val="Arial"/>
      <family val="2"/>
    </font>
    <font>
      <sz val="10"/>
      <color indexed="10"/>
      <name val="MS Sans Serif"/>
      <family val="2"/>
    </font>
    <font>
      <sz val="8"/>
      <name val="Wingdings"/>
      <charset val="2"/>
    </font>
    <font>
      <b/>
      <sz val="12"/>
      <color indexed="8"/>
      <name val="Helv"/>
    </font>
    <font>
      <b/>
      <sz val="14"/>
      <color indexed="8"/>
      <name val="Helv"/>
    </font>
    <font>
      <b/>
      <sz val="10"/>
      <color indexed="8"/>
      <name val="Helv"/>
      <charset val="204"/>
    </font>
    <font>
      <b/>
      <sz val="10"/>
      <color indexed="12"/>
      <name val="Times New Roman"/>
      <family val="1"/>
    </font>
    <font>
      <sz val="9.5"/>
      <color indexed="23"/>
      <name val="Helvetica-Black"/>
    </font>
    <font>
      <sz val="8"/>
      <color indexed="62"/>
      <name val="Arial"/>
      <family val="2"/>
    </font>
    <font>
      <sz val="10"/>
      <color indexed="39"/>
      <name val="Arial"/>
      <family val="2"/>
    </font>
    <font>
      <b/>
      <sz val="12"/>
      <color indexed="8"/>
      <name val="Arial"/>
      <family val="2"/>
      <charset val="204"/>
    </font>
    <font>
      <sz val="10"/>
      <color indexed="8"/>
      <name val="Arial"/>
      <family val="2"/>
      <charset val="204"/>
    </font>
    <font>
      <b/>
      <sz val="20"/>
      <color indexed="8"/>
      <name val="Arial"/>
      <family val="2"/>
      <charset val="204"/>
    </font>
    <font>
      <sz val="19"/>
      <name val="Arial"/>
      <family val="2"/>
    </font>
    <font>
      <b/>
      <sz val="16"/>
      <color indexed="23"/>
      <name val="Arial"/>
      <family val="2"/>
      <charset val="204"/>
    </font>
    <font>
      <sz val="8"/>
      <color indexed="14"/>
      <name val="Arial"/>
      <family val="2"/>
    </font>
    <font>
      <b/>
      <sz val="8"/>
      <color indexed="16"/>
      <name val="Arial"/>
      <family val="2"/>
    </font>
    <font>
      <b/>
      <i/>
      <sz val="10"/>
      <name val="Century Gothic"/>
      <family val="2"/>
    </font>
    <font>
      <b/>
      <sz val="8"/>
      <color indexed="9"/>
      <name val="Verdana"/>
      <family val="2"/>
    </font>
    <font>
      <sz val="9"/>
      <color indexed="20"/>
      <name val="Arial"/>
      <family val="2"/>
    </font>
    <font>
      <b/>
      <sz val="18"/>
      <color indexed="62"/>
      <name val="Cambria"/>
      <family val="2"/>
    </font>
    <font>
      <u/>
      <sz val="9"/>
      <name val="Arial"/>
      <family val="2"/>
    </font>
    <font>
      <b/>
      <sz val="9"/>
      <color indexed="9"/>
      <name val="Calibri"/>
      <family val="2"/>
    </font>
    <font>
      <u/>
      <sz val="11"/>
      <name val="Times New Roman"/>
      <family val="1"/>
    </font>
    <font>
      <b/>
      <sz val="16"/>
      <color indexed="16"/>
      <name val="Arial"/>
      <family val="2"/>
    </font>
    <font>
      <b/>
      <sz val="7"/>
      <name val="Verdana"/>
      <family val="2"/>
    </font>
    <font>
      <sz val="8"/>
      <name val="MS Sans Serif"/>
      <family val="2"/>
    </font>
    <font>
      <b/>
      <sz val="13"/>
      <color indexed="8"/>
      <name val="Verdana"/>
      <family val="2"/>
    </font>
    <font>
      <i/>
      <sz val="8"/>
      <color indexed="8"/>
      <name val="Arial"/>
      <family val="2"/>
    </font>
    <font>
      <sz val="2"/>
      <color indexed="9"/>
      <name val="Symbol"/>
      <family val="1"/>
      <charset val="2"/>
    </font>
    <font>
      <b/>
      <u/>
      <sz val="8"/>
      <name val="Arial"/>
      <family val="2"/>
    </font>
    <font>
      <i/>
      <sz val="8"/>
      <name val="Arial"/>
      <family val="2"/>
    </font>
    <font>
      <b/>
      <i/>
      <sz val="8"/>
      <name val="Arial"/>
      <family val="2"/>
    </font>
    <font>
      <sz val="8"/>
      <color indexed="39"/>
      <name val="Arial"/>
      <family val="2"/>
    </font>
    <font>
      <b/>
      <sz val="16"/>
      <color indexed="8"/>
      <name val="Arial"/>
      <family val="2"/>
    </font>
    <font>
      <b/>
      <i/>
      <sz val="12"/>
      <color indexed="8"/>
      <name val="Arial"/>
      <family val="2"/>
    </font>
    <font>
      <b/>
      <sz val="9"/>
      <color indexed="8"/>
      <name val="Arial"/>
      <family val="2"/>
    </font>
    <font>
      <b/>
      <sz val="10"/>
      <color indexed="10"/>
      <name val="Arial"/>
      <family val="2"/>
    </font>
    <font>
      <b/>
      <sz val="11"/>
      <color indexed="8"/>
      <name val="Arial"/>
      <family val="2"/>
    </font>
    <font>
      <sz val="12"/>
      <color indexed="8"/>
      <name val="HLV"/>
    </font>
    <font>
      <sz val="7"/>
      <color indexed="17"/>
      <name val="Times New Roman"/>
      <family val="1"/>
    </font>
    <font>
      <b/>
      <i/>
      <sz val="10"/>
      <name val="Arial"/>
      <family val="2"/>
    </font>
    <font>
      <vertAlign val="subscript"/>
      <sz val="8"/>
      <color indexed="8"/>
      <name val="Arial"/>
      <family val="2"/>
    </font>
    <font>
      <i/>
      <sz val="12"/>
      <color indexed="12"/>
      <name val="Times New Roman"/>
      <family val="1"/>
    </font>
    <font>
      <b/>
      <sz val="8"/>
      <color indexed="8"/>
      <name val="Helv"/>
    </font>
    <font>
      <sz val="7"/>
      <name val="Times New Roman"/>
      <family val="1"/>
    </font>
    <font>
      <b/>
      <sz val="8"/>
      <name val="Tms Rmn"/>
    </font>
    <font>
      <vertAlign val="superscript"/>
      <sz val="8"/>
      <color indexed="8"/>
      <name val="Arial"/>
      <family val="2"/>
    </font>
    <font>
      <sz val="10"/>
      <name val="Symbol"/>
      <family val="1"/>
      <charset val="2"/>
    </font>
    <font>
      <sz val="8.5"/>
      <name val="Arial Narrow"/>
      <family val="2"/>
    </font>
    <font>
      <b/>
      <sz val="9"/>
      <name val="Palatino"/>
      <family val="1"/>
    </font>
    <font>
      <sz val="9"/>
      <color indexed="21"/>
      <name val="Helvetica-Black"/>
    </font>
    <font>
      <b/>
      <sz val="10"/>
      <color indexed="16"/>
      <name val="Arial"/>
      <family val="2"/>
    </font>
    <font>
      <sz val="9"/>
      <name val="Helvetica-Black"/>
    </font>
    <font>
      <sz val="7"/>
      <name val="Palatino"/>
      <family val="1"/>
    </font>
    <font>
      <b/>
      <u val="singleAccounting"/>
      <sz val="14"/>
      <name val="Times New Roman"/>
      <family val="1"/>
    </font>
    <font>
      <b/>
      <sz val="10"/>
      <name val="Verdana"/>
      <family val="2"/>
    </font>
    <font>
      <i/>
      <sz val="14"/>
      <name val="Times New Roman"/>
      <family val="1"/>
    </font>
    <font>
      <b/>
      <i/>
      <sz val="10"/>
      <name val="Times New Roman"/>
      <family val="1"/>
    </font>
    <font>
      <sz val="12"/>
      <color indexed="8"/>
      <name val="Palatino"/>
      <family val="1"/>
    </font>
    <font>
      <sz val="11"/>
      <color indexed="8"/>
      <name val="Helvetica-Black"/>
    </font>
    <font>
      <sz val="8"/>
      <name val="Calibri"/>
      <family val="2"/>
    </font>
    <font>
      <b/>
      <sz val="14"/>
      <color indexed="11"/>
      <name val="Wingdings"/>
      <charset val="2"/>
    </font>
    <font>
      <b/>
      <u/>
      <sz val="9"/>
      <name val="Arial"/>
      <family val="2"/>
    </font>
    <font>
      <b/>
      <sz val="10"/>
      <color indexed="8"/>
      <name val="Arial"/>
      <family val="2"/>
      <charset val="204"/>
    </font>
    <font>
      <b/>
      <sz val="16"/>
      <color indexed="62"/>
      <name val="Arial"/>
      <family val="2"/>
    </font>
    <font>
      <b/>
      <sz val="11"/>
      <color indexed="9"/>
      <name val="GillSans"/>
      <family val="2"/>
    </font>
    <font>
      <b/>
      <sz val="8"/>
      <color indexed="18"/>
      <name val="Times New Roman"/>
      <family val="1"/>
    </font>
    <font>
      <b/>
      <u/>
      <sz val="12"/>
      <name val="Times New Roman"/>
      <family val="1"/>
    </font>
    <font>
      <b/>
      <sz val="14"/>
      <name val="Helv"/>
    </font>
    <font>
      <b/>
      <sz val="12"/>
      <name val="Helv"/>
    </font>
    <font>
      <b/>
      <sz val="9"/>
      <name val="times new roman"/>
      <family val="1"/>
    </font>
    <font>
      <u/>
      <sz val="10"/>
      <color indexed="8"/>
      <name val="Arial"/>
      <family val="2"/>
    </font>
    <font>
      <u val="double"/>
      <sz val="8"/>
      <color indexed="8"/>
      <name val="Arial"/>
      <family val="2"/>
    </font>
    <font>
      <sz val="9"/>
      <color indexed="10"/>
      <name val="Arial MT"/>
    </font>
    <font>
      <sz val="8"/>
      <color indexed="8"/>
      <name val="Wingdings"/>
      <charset val="2"/>
    </font>
    <font>
      <sz val="10"/>
      <color indexed="21"/>
      <name val="Arial"/>
      <family val="2"/>
    </font>
    <font>
      <sz val="11"/>
      <color indexed="14"/>
      <name val="Calibri"/>
      <family val="2"/>
    </font>
    <font>
      <sz val="8"/>
      <color indexed="9"/>
      <name val="Arial"/>
      <family val="2"/>
    </font>
    <font>
      <b/>
      <sz val="9"/>
      <color indexed="10"/>
      <name val="Wingdings"/>
      <charset val="2"/>
    </font>
    <font>
      <b/>
      <i/>
      <sz val="12"/>
      <name val="Times New Roman"/>
      <family val="1"/>
    </font>
    <font>
      <sz val="8"/>
      <name val="Book Antiqua"/>
      <family val="1"/>
    </font>
    <font>
      <sz val="11"/>
      <color indexed="62"/>
      <name val="Calibri"/>
      <family val="2"/>
      <charset val="204"/>
    </font>
    <font>
      <b/>
      <sz val="11"/>
      <color indexed="63"/>
      <name val="Calibri"/>
      <family val="2"/>
      <charset val="204"/>
    </font>
    <font>
      <b/>
      <sz val="11"/>
      <color indexed="52"/>
      <name val="Calibri"/>
      <family val="2"/>
      <charset val="204"/>
    </font>
    <font>
      <b/>
      <sz val="11"/>
      <color indexed="53"/>
      <name val="Calibri"/>
      <family val="2"/>
    </font>
    <font>
      <u/>
      <sz val="10"/>
      <color indexed="12"/>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sz val="11"/>
      <color indexed="60"/>
      <name val="Calibri"/>
      <family val="2"/>
      <charset val="204"/>
    </font>
    <font>
      <sz val="11"/>
      <color indexed="60"/>
      <name val="Calibri"/>
      <family val="2"/>
    </font>
    <font>
      <sz val="10"/>
      <name val="Arial Cyr"/>
      <family val="2"/>
      <charset val="204"/>
    </font>
    <font>
      <sz val="10"/>
      <color indexed="8"/>
      <name val="Arial Cyr"/>
      <family val="2"/>
      <charset val="204"/>
    </font>
    <font>
      <u/>
      <sz val="10"/>
      <color indexed="36"/>
      <name val="Arial"/>
      <family val="2"/>
      <charset val="204"/>
    </font>
    <font>
      <sz val="11"/>
      <color indexed="16"/>
      <name val="Calibri"/>
      <family val="2"/>
    </font>
    <font>
      <i/>
      <sz val="10"/>
      <color rgb="FF7F7F7F"/>
      <name val="Arial"/>
      <family val="2"/>
    </font>
    <font>
      <sz val="1"/>
      <color indexed="18"/>
      <name val="Courier"/>
      <family val="3"/>
    </font>
    <font>
      <sz val="12"/>
      <color indexed="8"/>
      <name val="Calibri"/>
      <family val="2"/>
      <charset val="204"/>
    </font>
    <font>
      <sz val="11"/>
      <color indexed="53"/>
      <name val="Calibri"/>
      <family val="2"/>
    </font>
    <font>
      <sz val="11"/>
      <color indexed="10"/>
      <name val="Calibri"/>
      <family val="2"/>
    </font>
    <font>
      <sz val="9"/>
      <name val="Arial Cyr"/>
      <charset val="204"/>
    </font>
    <font>
      <sz val="11"/>
      <color indexed="17"/>
      <name val="Calibri"/>
      <family val="2"/>
      <charset val="204"/>
    </font>
    <font>
      <b/>
      <sz val="10"/>
      <color indexed="39"/>
      <name val="Arial"/>
      <family val="2"/>
    </font>
    <font>
      <sz val="19"/>
      <color indexed="48"/>
      <name val="Arial"/>
      <family val="2"/>
      <charset val="204"/>
    </font>
    <font>
      <u/>
      <sz val="11"/>
      <color theme="10"/>
      <name val="Calibri"/>
      <family val="2"/>
      <scheme val="minor"/>
    </font>
    <font>
      <i/>
      <sz val="9"/>
      <color theme="1"/>
      <name val="Arial"/>
      <family val="2"/>
      <charset val="204"/>
    </font>
    <font>
      <sz val="9"/>
      <color theme="0"/>
      <name val="Arial"/>
      <family val="2"/>
      <charset val="204"/>
    </font>
    <font>
      <b/>
      <sz val="9"/>
      <name val="Arial"/>
      <family val="2"/>
      <charset val="204"/>
    </font>
    <font>
      <sz val="8"/>
      <name val="Calibri"/>
      <family val="2"/>
      <charset val="204"/>
      <scheme val="minor"/>
    </font>
    <font>
      <b/>
      <sz val="9"/>
      <color rgb="FF807F83"/>
      <name val="Arial"/>
      <family val="2"/>
      <charset val="204"/>
    </font>
    <font>
      <b/>
      <sz val="10"/>
      <color rgb="FF807F83"/>
      <name val="Arial"/>
      <family val="2"/>
      <charset val="204"/>
    </font>
    <font>
      <b/>
      <sz val="9"/>
      <color rgb="FFEF3E42"/>
      <name val="Arial"/>
      <family val="2"/>
      <charset val="204"/>
    </font>
    <font>
      <sz val="9"/>
      <color rgb="FF000000"/>
      <name val="Arial"/>
      <family val="2"/>
      <charset val="204"/>
    </font>
    <font>
      <b/>
      <sz val="10"/>
      <name val="Arial"/>
      <family val="2"/>
      <charset val="204"/>
    </font>
    <font>
      <b/>
      <sz val="10"/>
      <color theme="1"/>
      <name val="Arial"/>
      <family val="2"/>
      <charset val="204"/>
    </font>
    <font>
      <b/>
      <sz val="12"/>
      <color rgb="FF6A6A6A"/>
      <name val="Arial"/>
      <family val="2"/>
      <charset val="204"/>
    </font>
    <font>
      <sz val="9"/>
      <color theme="8" tint="-0.249977111117893"/>
      <name val="Arial"/>
      <family val="2"/>
      <charset val="204"/>
    </font>
    <font>
      <sz val="9"/>
      <color rgb="FFFF0000"/>
      <name val="Arial"/>
      <family val="2"/>
      <charset val="204"/>
    </font>
    <font>
      <b/>
      <sz val="9"/>
      <color rgb="FFFF0000"/>
      <name val="Arial"/>
      <family val="2"/>
      <charset val="204"/>
    </font>
    <font>
      <sz val="11"/>
      <color rgb="FFFF0000"/>
      <name val="Calibri"/>
      <family val="2"/>
      <charset val="204"/>
      <scheme val="minor"/>
    </font>
    <font>
      <sz val="12"/>
      <color theme="1"/>
      <name val="Times New Roman"/>
      <family val="1"/>
      <charset val="204"/>
    </font>
    <font>
      <sz val="9"/>
      <color theme="0" tint="-0.249977111117893"/>
      <name val="Arial"/>
      <family val="2"/>
      <charset val="204"/>
    </font>
    <font>
      <b/>
      <sz val="12"/>
      <color theme="1"/>
      <name val="Arial"/>
      <family val="2"/>
      <charset val="204"/>
    </font>
    <font>
      <sz val="11"/>
      <color theme="1"/>
      <name val="Arial"/>
      <family val="2"/>
      <charset val="204"/>
    </font>
    <font>
      <sz val="9"/>
      <color rgb="FFCFCFCF"/>
      <name val="Arial"/>
      <family val="2"/>
      <charset val="204"/>
    </font>
    <font>
      <i/>
      <sz val="11"/>
      <color theme="1"/>
      <name val="Arial"/>
      <family val="2"/>
      <charset val="204"/>
    </font>
    <font>
      <b/>
      <sz val="11"/>
      <color theme="1"/>
      <name val="Arial"/>
      <family val="2"/>
      <charset val="204"/>
    </font>
    <font>
      <u/>
      <sz val="11"/>
      <color theme="10"/>
      <name val="Arial"/>
      <family val="2"/>
      <charset val="204"/>
    </font>
    <font>
      <b/>
      <sz val="12"/>
      <color theme="0" tint="-0.499984740745262"/>
      <name val="Arial"/>
      <family val="2"/>
      <charset val="204"/>
    </font>
    <font>
      <sz val="11"/>
      <color theme="0" tint="-0.499984740745262"/>
      <name val="Arial"/>
      <family val="2"/>
      <charset val="204"/>
    </font>
    <font>
      <b/>
      <sz val="11"/>
      <color theme="0" tint="-0.499984740745262"/>
      <name val="Arial"/>
      <family val="2"/>
      <charset val="204"/>
    </font>
    <font>
      <sz val="9"/>
      <color theme="0" tint="-0.499984740745262"/>
      <name val="Arial"/>
      <family val="2"/>
      <charset val="204"/>
    </font>
    <font>
      <sz val="9"/>
      <color theme="0" tint="-0.34998626667073579"/>
      <name val="Arial"/>
      <family val="2"/>
      <charset val="204"/>
    </font>
    <font>
      <b/>
      <sz val="9"/>
      <color theme="0" tint="-0.34998626667073579"/>
      <name val="Arial"/>
      <family val="2"/>
      <charset val="204"/>
    </font>
    <font>
      <sz val="8"/>
      <color theme="1"/>
      <name val="Arial"/>
      <family val="2"/>
      <charset val="204"/>
    </font>
    <font>
      <sz val="8"/>
      <name val="Arial"/>
      <family val="2"/>
      <charset val="186"/>
    </font>
  </fonts>
  <fills count="140">
    <fill>
      <patternFill patternType="none"/>
    </fill>
    <fill>
      <patternFill patternType="gray125"/>
    </fill>
    <fill>
      <patternFill patternType="solid">
        <fgColor theme="4" tint="0.79998168889431442"/>
        <bgColor indexed="65"/>
      </patternFill>
    </fill>
    <fill>
      <patternFill patternType="solid">
        <fgColor theme="7" tint="0.79998168889431442"/>
        <bgColor indexed="65"/>
      </patternFill>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1"/>
        <bgColor indexed="64"/>
      </patternFill>
    </fill>
    <fill>
      <patternFill patternType="solid">
        <fgColor indexed="43"/>
      </patternFill>
    </fill>
    <fill>
      <patternFill patternType="solid">
        <fgColor indexed="43"/>
        <bgColor indexed="26"/>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6"/>
        <bgColor indexed="3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44"/>
        <bgColor indexed="64"/>
      </patternFill>
    </fill>
    <fill>
      <patternFill patternType="solid">
        <fgColor indexed="27"/>
        <bgColor indexed="41"/>
      </patternFill>
    </fill>
    <fill>
      <patternFill patternType="solid">
        <fgColor indexed="22"/>
      </patternFill>
    </fill>
    <fill>
      <patternFill patternType="solid">
        <fgColor indexed="26"/>
        <bgColor indexed="9"/>
      </patternFill>
    </fill>
    <fill>
      <patternFill patternType="solid">
        <fgColor indexed="12"/>
        <bgColor indexed="39"/>
      </patternFill>
    </fill>
    <fill>
      <patternFill patternType="solid">
        <fgColor indexed="35"/>
        <bgColor indexed="35"/>
      </patternFill>
    </fill>
    <fill>
      <patternFill patternType="lightGray">
        <fgColor indexed="15"/>
      </patternFill>
    </fill>
    <fill>
      <patternFill patternType="solid">
        <fgColor indexed="22"/>
        <bgColor indexed="64"/>
      </patternFill>
    </fill>
    <fill>
      <patternFill patternType="solid">
        <fgColor indexed="13"/>
        <bgColor indexed="34"/>
      </patternFill>
    </fill>
    <fill>
      <patternFill patternType="solid">
        <fgColor indexed="12"/>
      </patternFill>
    </fill>
    <fill>
      <patternFill patternType="solid">
        <fgColor indexed="9"/>
      </patternFill>
    </fill>
    <fill>
      <patternFill patternType="solid">
        <fgColor indexed="60"/>
        <bgColor indexed="64"/>
      </patternFill>
    </fill>
    <fill>
      <patternFill patternType="solid">
        <fgColor indexed="43"/>
        <bgColor indexed="64"/>
      </patternFill>
    </fill>
    <fill>
      <patternFill patternType="solid">
        <fgColor indexed="48"/>
      </patternFill>
    </fill>
    <fill>
      <patternFill patternType="solid">
        <fgColor indexed="48"/>
        <bgColor indexed="30"/>
      </patternFill>
    </fill>
    <fill>
      <patternFill patternType="solid">
        <fgColor indexed="8"/>
        <bgColor indexed="64"/>
      </patternFill>
    </fill>
    <fill>
      <patternFill patternType="solid">
        <fgColor indexed="23"/>
        <bgColor indexed="55"/>
      </patternFill>
    </fill>
    <fill>
      <patternFill patternType="solid">
        <fgColor indexed="14"/>
        <bgColor indexed="64"/>
      </patternFill>
    </fill>
    <fill>
      <patternFill patternType="solid">
        <fgColor indexed="23"/>
        <bgColor indexed="64"/>
      </patternFill>
    </fill>
    <fill>
      <patternFill patternType="solid">
        <fgColor indexed="13"/>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8"/>
      </patternFill>
    </fill>
    <fill>
      <patternFill patternType="solid">
        <fgColor indexed="40"/>
      </patternFill>
    </fill>
    <fill>
      <patternFill patternType="solid">
        <fgColor indexed="40"/>
        <bgColor indexed="49"/>
      </patternFill>
    </fill>
    <fill>
      <patternFill patternType="darkGray">
        <fgColor indexed="13"/>
        <bgColor indexed="9"/>
      </patternFill>
    </fill>
    <fill>
      <patternFill patternType="solid">
        <fgColor indexed="26"/>
        <bgColor indexed="64"/>
      </patternFill>
    </fill>
    <fill>
      <patternFill patternType="solid">
        <fgColor indexed="15"/>
      </patternFill>
    </fill>
    <fill>
      <patternFill patternType="solid">
        <fgColor indexed="41"/>
        <bgColor indexed="15"/>
      </patternFill>
    </fill>
    <fill>
      <patternFill patternType="gray125">
        <fgColor indexed="13"/>
      </patternFill>
    </fill>
    <fill>
      <patternFill patternType="solid">
        <fgColor indexed="41"/>
        <bgColor indexed="27"/>
      </patternFill>
    </fill>
    <fill>
      <patternFill patternType="gray0625">
        <fgColor indexed="22"/>
      </patternFill>
    </fill>
    <fill>
      <patternFill patternType="solid">
        <fgColor indexed="8"/>
        <bgColor indexed="58"/>
      </patternFill>
    </fill>
    <fill>
      <patternFill patternType="solid">
        <fgColor indexed="8"/>
        <bgColor indexed="11"/>
      </patternFill>
    </fill>
    <fill>
      <patternFill patternType="solid">
        <fgColor indexed="21"/>
        <bgColor indexed="38"/>
      </patternFill>
    </fill>
    <fill>
      <patternFill patternType="solid">
        <fgColor indexed="62"/>
        <bgColor indexed="64"/>
      </patternFill>
    </fill>
    <fill>
      <patternFill patternType="solid">
        <fgColor indexed="63"/>
        <bgColor indexed="64"/>
      </patternFill>
    </fill>
    <fill>
      <patternFill patternType="solid">
        <fgColor indexed="54"/>
        <bgColor indexed="23"/>
      </patternFill>
    </fill>
    <fill>
      <patternFill patternType="solid">
        <fgColor indexed="42"/>
        <bgColor indexed="64"/>
      </patternFill>
    </fill>
    <fill>
      <patternFill patternType="mediumGray">
        <fgColor indexed="22"/>
      </patternFill>
    </fill>
    <fill>
      <patternFill patternType="darkVertical"/>
    </fill>
    <fill>
      <patternFill patternType="solid">
        <fgColor indexed="45"/>
        <bgColor indexed="64"/>
      </patternFill>
    </fill>
    <fill>
      <patternFill patternType="solid">
        <fgColor indexed="29"/>
        <bgColor indexed="64"/>
      </patternFill>
    </fill>
    <fill>
      <patternFill patternType="solid">
        <fgColor indexed="10"/>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54"/>
      </patternFill>
    </fill>
    <fill>
      <patternFill patternType="solid">
        <fgColor indexed="35"/>
        <bgColor indexed="64"/>
      </patternFill>
    </fill>
    <fill>
      <patternFill patternType="solid">
        <fgColor indexed="54"/>
        <bgColor indexed="64"/>
      </patternFill>
    </fill>
    <fill>
      <patternFill patternType="solid">
        <fgColor indexed="41"/>
      </patternFill>
    </fill>
    <fill>
      <patternFill patternType="solid">
        <fgColor indexed="23"/>
      </patternFill>
    </fill>
    <fill>
      <patternFill patternType="solid">
        <fgColor indexed="55"/>
        <bgColor indexed="64"/>
      </patternFill>
    </fill>
    <fill>
      <patternFill patternType="solid">
        <fgColor indexed="26"/>
      </patternFill>
    </fill>
    <fill>
      <patternFill patternType="solid">
        <fgColor indexed="31"/>
        <bgColor indexed="22"/>
      </patternFill>
    </fill>
    <fill>
      <patternFill patternType="solid">
        <fgColor indexed="20"/>
      </patternFill>
    </fill>
    <fill>
      <patternFill patternType="solid">
        <fgColor indexed="22"/>
        <bgColor indexed="31"/>
      </patternFill>
    </fill>
    <fill>
      <patternFill patternType="solid">
        <fgColor indexed="56"/>
        <bgColor indexed="64"/>
      </patternFill>
    </fill>
    <fill>
      <patternFill patternType="gray0625"/>
    </fill>
    <fill>
      <patternFill patternType="solid">
        <fgColor indexed="48"/>
        <bgColor indexed="64"/>
      </patternFill>
    </fill>
    <fill>
      <patternFill patternType="lightGray">
        <fgColor indexed="8"/>
      </patternFill>
    </fill>
    <fill>
      <patternFill patternType="solid">
        <fgColor indexed="9"/>
        <bgColor indexed="9"/>
      </patternFill>
    </fill>
    <fill>
      <patternFill patternType="solid">
        <fgColor indexed="16"/>
        <bgColor indexed="64"/>
      </patternFill>
    </fill>
    <fill>
      <patternFill patternType="mediumGray"/>
    </fill>
    <fill>
      <patternFill patternType="solid">
        <fgColor indexed="9"/>
        <bgColor indexed="26"/>
      </patternFill>
    </fill>
    <fill>
      <patternFill patternType="lightGray">
        <fgColor indexed="13"/>
      </patternFill>
    </fill>
    <fill>
      <patternFill patternType="solid">
        <fgColor indexed="10"/>
        <bgColor indexed="60"/>
      </patternFill>
    </fill>
    <fill>
      <patternFill patternType="solid">
        <fgColor indexed="20"/>
        <bgColor indexed="36"/>
      </patternFill>
    </fill>
    <fill>
      <patternFill patternType="solid">
        <fgColor indexed="49"/>
        <bgColor indexed="35"/>
      </patternFill>
    </fill>
    <fill>
      <patternFill patternType="solid">
        <fgColor indexed="53"/>
        <bgColor indexed="52"/>
      </patternFill>
    </fill>
    <fill>
      <patternFill patternType="solid">
        <fgColor indexed="55"/>
        <bgColor indexed="23"/>
      </patternFill>
    </fill>
    <fill>
      <patternFill patternType="solid">
        <fgColor indexed="60"/>
      </patternFill>
    </fill>
    <fill>
      <patternFill patternType="solid">
        <fgColor indexed="42"/>
        <bgColor indexed="27"/>
      </patternFill>
    </fill>
    <fill>
      <patternFill patternType="solid">
        <fgColor indexed="42"/>
        <bgColor indexed="42"/>
      </patternFill>
    </fill>
    <fill>
      <patternFill patternType="solid">
        <fgColor rgb="FFEF3E42"/>
        <bgColor indexed="64"/>
      </patternFill>
    </fill>
    <fill>
      <patternFill patternType="solid">
        <fgColor rgb="FF807F83"/>
        <bgColor indexed="64"/>
      </patternFill>
    </fill>
    <fill>
      <patternFill patternType="solid">
        <fgColor rgb="FFFFFFFF"/>
        <bgColor indexed="64"/>
      </patternFill>
    </fill>
    <fill>
      <patternFill patternType="solid">
        <fgColor rgb="FF92C56E"/>
        <bgColor indexed="64"/>
      </patternFill>
    </fill>
    <fill>
      <patternFill patternType="solid">
        <fgColor rgb="FF59BEBE"/>
        <bgColor indexed="64"/>
      </patternFill>
    </fill>
    <fill>
      <patternFill patternType="solid">
        <fgColor rgb="FF69ACDF"/>
        <bgColor indexed="64"/>
      </patternFill>
    </fill>
    <fill>
      <patternFill patternType="solid">
        <fgColor rgb="FFFAC075"/>
        <bgColor indexed="64"/>
      </patternFill>
    </fill>
    <fill>
      <patternFill patternType="solid">
        <fgColor rgb="FFC380B5"/>
        <bgColor indexed="64"/>
      </patternFill>
    </fill>
    <fill>
      <patternFill patternType="solid">
        <fgColor rgb="FFC1BEBF"/>
        <bgColor indexed="64"/>
      </patternFill>
    </fill>
    <fill>
      <patternFill patternType="solid">
        <fgColor theme="0" tint="-4.9989318521683403E-2"/>
        <bgColor indexed="64"/>
      </patternFill>
    </fill>
  </fills>
  <borders count="1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style="thin">
        <color indexed="8"/>
      </top>
      <bottom style="double">
        <color indexed="8"/>
      </bottom>
      <diagonal/>
    </border>
    <border>
      <left/>
      <right/>
      <top style="thin">
        <color indexed="64"/>
      </top>
      <bottom/>
      <diagonal/>
    </border>
    <border>
      <left style="thin">
        <color theme="0" tint="-0.499984740745262"/>
      </left>
      <right/>
      <top style="thin">
        <color theme="0" tint="-0.499984740745262"/>
      </top>
      <bottom style="thin">
        <color theme="0" tint="-0.499984740745262"/>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style="thick">
        <color indexed="9"/>
      </left>
      <right style="thick">
        <color indexed="9"/>
      </right>
      <top/>
      <bottom/>
      <diagonal/>
    </border>
    <border>
      <left/>
      <right/>
      <top/>
      <bottom style="medium">
        <color indexed="18"/>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bottom style="medium">
        <color indexed="8"/>
      </bottom>
      <diagonal/>
    </border>
    <border>
      <left/>
      <right/>
      <top/>
      <bottom style="thin">
        <color indexed="44"/>
      </bottom>
      <diagonal/>
    </border>
    <border>
      <left/>
      <right/>
      <top/>
      <bottom style="medium">
        <color indexed="24"/>
      </bottom>
      <diagonal/>
    </border>
    <border>
      <left/>
      <right/>
      <top/>
      <bottom style="hair">
        <color indexed="20"/>
      </bottom>
      <diagonal/>
    </border>
    <border>
      <left/>
      <right/>
      <top style="double">
        <color indexed="64"/>
      </top>
      <bottom/>
      <diagonal/>
    </border>
    <border>
      <left/>
      <right/>
      <top/>
      <bottom style="thin">
        <color indexed="20"/>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medium">
        <color indexed="64"/>
      </left>
      <right style="medium">
        <color indexed="64"/>
      </right>
      <top/>
      <bottom style="hair">
        <color indexed="64"/>
      </bottom>
      <diagonal/>
    </border>
    <border>
      <left/>
      <right/>
      <top/>
      <bottom style="dotted">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bottom/>
      <diagonal/>
    </border>
    <border>
      <left/>
      <right/>
      <top/>
      <bottom style="thick">
        <color indexed="48"/>
      </bottom>
      <diagonal/>
    </border>
    <border>
      <left/>
      <right/>
      <top/>
      <bottom style="thick">
        <color indexed="58"/>
      </bottom>
      <diagonal/>
    </border>
    <border>
      <left/>
      <right/>
      <top/>
      <bottom style="medium">
        <color indexed="58"/>
      </bottom>
      <diagonal/>
    </border>
    <border>
      <left style="double">
        <color indexed="64"/>
      </left>
      <right style="double">
        <color indexed="64"/>
      </right>
      <top style="double">
        <color indexed="64"/>
      </top>
      <bottom style="double">
        <color indexed="64"/>
      </bottom>
      <diagonal/>
    </border>
    <border>
      <left style="thick">
        <color indexed="9"/>
      </left>
      <right style="thick">
        <color indexed="9"/>
      </right>
      <top/>
      <bottom style="thin">
        <color indexed="64"/>
      </bottom>
      <diagonal/>
    </border>
    <border>
      <left/>
      <right/>
      <top/>
      <bottom style="double">
        <color indexed="17"/>
      </bottom>
      <diagonal/>
    </border>
    <border>
      <left style="medium">
        <color indexed="64"/>
      </left>
      <right style="dotted">
        <color indexed="64"/>
      </right>
      <top style="medium">
        <color indexed="64"/>
      </top>
      <bottom style="hair">
        <color indexed="64"/>
      </bottom>
      <diagonal/>
    </border>
    <border>
      <left style="thin">
        <color indexed="64"/>
      </left>
      <right style="thin">
        <color indexed="64"/>
      </right>
      <top/>
      <bottom style="hair">
        <color indexed="64"/>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64"/>
      </bottom>
      <diagonal/>
    </border>
    <border>
      <left/>
      <right style="thin">
        <color indexed="8"/>
      </right>
      <top/>
      <bottom/>
      <diagonal/>
    </border>
    <border>
      <left style="thick">
        <color indexed="21"/>
      </left>
      <right style="thick">
        <color indexed="21"/>
      </right>
      <top style="thin">
        <color indexed="8"/>
      </top>
      <bottom/>
      <diagonal/>
    </border>
    <border>
      <left/>
      <right style="thick">
        <color indexed="9"/>
      </right>
      <top/>
      <bottom style="thin">
        <color indexed="8"/>
      </bottom>
      <diagonal/>
    </border>
    <border>
      <left style="thin">
        <color indexed="64"/>
      </left>
      <right/>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style="thin">
        <color indexed="51"/>
      </left>
      <right style="thin">
        <color indexed="51"/>
      </right>
      <top/>
      <bottom/>
      <diagonal/>
    </border>
    <border>
      <left style="medium">
        <color indexed="64"/>
      </left>
      <right style="thin">
        <color indexed="64"/>
      </right>
      <top style="medium">
        <color indexed="64"/>
      </top>
      <bottom style="thin">
        <color indexed="64"/>
      </bottom>
      <diagonal/>
    </border>
    <border>
      <left/>
      <right/>
      <top style="thick">
        <color indexed="64"/>
      </top>
      <bottom style="thin">
        <color indexed="64"/>
      </bottom>
      <diagonal/>
    </border>
    <border>
      <left style="thin">
        <color indexed="8"/>
      </left>
      <right/>
      <top style="thin">
        <color indexed="8"/>
      </top>
      <bottom/>
      <diagonal/>
    </border>
    <border>
      <left/>
      <right/>
      <top style="thin">
        <color indexed="48"/>
      </top>
      <bottom style="double">
        <color indexed="48"/>
      </bottom>
      <diagonal/>
    </border>
    <border>
      <left/>
      <right/>
      <top style="medium">
        <color indexed="8"/>
      </top>
      <bottom/>
      <diagonal/>
    </border>
    <border>
      <left style="thick">
        <color indexed="64"/>
      </left>
      <right style="thin">
        <color indexed="64"/>
      </right>
      <top/>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double">
        <color indexed="53"/>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rgb="FFEF3E42"/>
      </bottom>
      <diagonal/>
    </border>
    <border>
      <left/>
      <right/>
      <top style="thin">
        <color rgb="FFEF3E42"/>
      </top>
      <bottom style="thin">
        <color rgb="FFEF3E42"/>
      </bottom>
      <diagonal/>
    </border>
    <border>
      <left/>
      <right/>
      <top style="thin">
        <color rgb="FFEF3E42"/>
      </top>
      <bottom/>
      <diagonal/>
    </border>
    <border>
      <left/>
      <right/>
      <top style="thin">
        <color rgb="FFCFCFCF"/>
      </top>
      <bottom style="thin">
        <color rgb="FFCFCFCF"/>
      </bottom>
      <diagonal/>
    </border>
    <border>
      <left/>
      <right/>
      <top/>
      <bottom style="thin">
        <color rgb="FFCFCFCF"/>
      </bottom>
      <diagonal/>
    </border>
    <border>
      <left/>
      <right/>
      <top style="thin">
        <color rgb="FFCFCFCF"/>
      </top>
      <bottom/>
      <diagonal/>
    </border>
    <border>
      <left style="thin">
        <color rgb="FFEF3E42"/>
      </left>
      <right style="thin">
        <color rgb="FFEF3E42"/>
      </right>
      <top/>
      <bottom style="thin">
        <color rgb="FFCFCFCF"/>
      </bottom>
      <diagonal/>
    </border>
    <border>
      <left style="thin">
        <color rgb="FFEF3E42"/>
      </left>
      <right style="thin">
        <color rgb="FFEF3E42"/>
      </right>
      <top/>
      <bottom/>
      <diagonal/>
    </border>
    <border>
      <left style="thin">
        <color rgb="FFEF3E42"/>
      </left>
      <right style="thin">
        <color rgb="FFEF3E42"/>
      </right>
      <top/>
      <bottom style="thin">
        <color rgb="FFEF3E42"/>
      </bottom>
      <diagonal/>
    </border>
    <border>
      <left style="thin">
        <color rgb="FFEF3E42"/>
      </left>
      <right style="thin">
        <color rgb="FFEF3E42"/>
      </right>
      <top style="thin">
        <color rgb="FFEF3E42"/>
      </top>
      <bottom/>
      <diagonal/>
    </border>
    <border>
      <left style="thin">
        <color rgb="FFEF3E42"/>
      </left>
      <right style="thin">
        <color rgb="FFEF3E42"/>
      </right>
      <top style="thin">
        <color rgb="FFCFCFCF"/>
      </top>
      <bottom style="thin">
        <color rgb="FFCFCFCF"/>
      </bottom>
      <diagonal/>
    </border>
    <border>
      <left style="thin">
        <color rgb="FFEF3E42"/>
      </left>
      <right style="thin">
        <color rgb="FFEF3E42"/>
      </right>
      <top style="thin">
        <color rgb="FFEF3E42"/>
      </top>
      <bottom style="thin">
        <color rgb="FFEF3E42"/>
      </bottom>
      <diagonal/>
    </border>
    <border>
      <left style="thin">
        <color rgb="FFEF3E42"/>
      </left>
      <right style="thin">
        <color rgb="FFEF3E42"/>
      </right>
      <top style="thin">
        <color rgb="FFCFCFCF"/>
      </top>
      <bottom/>
      <diagonal/>
    </border>
    <border>
      <left/>
      <right/>
      <top style="thin">
        <color rgb="FFEF3E42"/>
      </top>
      <bottom style="thin">
        <color rgb="FFCFCFCF"/>
      </bottom>
      <diagonal/>
    </border>
    <border>
      <left/>
      <right/>
      <top style="thin">
        <color rgb="FFCFCFCF"/>
      </top>
      <bottom style="thin">
        <color rgb="FFEF3E42"/>
      </bottom>
      <diagonal/>
    </border>
    <border>
      <left style="thin">
        <color rgb="FFEF3E42"/>
      </left>
      <right style="thin">
        <color rgb="FFEF3E42"/>
      </right>
      <top style="thin">
        <color rgb="FFEF3E42"/>
      </top>
      <bottom style="thin">
        <color rgb="FFCFCFCF"/>
      </bottom>
      <diagonal/>
    </border>
    <border>
      <left style="thin">
        <color rgb="FFEF3E42"/>
      </left>
      <right style="thin">
        <color rgb="FFEF3E42"/>
      </right>
      <top style="thin">
        <color rgb="FFCFCFCF"/>
      </top>
      <bottom style="thin">
        <color rgb="FFEF3E42"/>
      </bottom>
      <diagonal/>
    </border>
    <border>
      <left style="thin">
        <color rgb="FF807F83"/>
      </left>
      <right/>
      <top/>
      <bottom/>
      <diagonal/>
    </border>
    <border>
      <left/>
      <right/>
      <top style="thin">
        <color rgb="FF807F83"/>
      </top>
      <bottom style="thin">
        <color rgb="FF807F83"/>
      </bottom>
      <diagonal/>
    </border>
    <border>
      <left/>
      <right style="thin">
        <color rgb="FF807F83"/>
      </right>
      <top/>
      <bottom/>
      <diagonal/>
    </border>
    <border>
      <left/>
      <right/>
      <top style="thin">
        <color rgb="FFCFCFCF"/>
      </top>
      <bottom style="thin">
        <color rgb="FF807F83"/>
      </bottom>
      <diagonal/>
    </border>
    <border>
      <left/>
      <right/>
      <top/>
      <bottom style="thin">
        <color rgb="FF807F83"/>
      </bottom>
      <diagonal/>
    </border>
    <border>
      <left/>
      <right/>
      <top style="thin">
        <color rgb="FF807F83"/>
      </top>
      <bottom/>
      <diagonal/>
    </border>
    <border>
      <left/>
      <right style="thin">
        <color rgb="FFEF3E42"/>
      </right>
      <top/>
      <bottom/>
      <diagonal/>
    </border>
    <border>
      <left/>
      <right style="thin">
        <color rgb="FFEF3E42"/>
      </right>
      <top style="thin">
        <color rgb="FFCFCFCF"/>
      </top>
      <bottom style="thin">
        <color rgb="FFCFCFCF"/>
      </bottom>
      <diagonal/>
    </border>
    <border>
      <left/>
      <right style="thin">
        <color rgb="FFEF3E42"/>
      </right>
      <top style="thin">
        <color rgb="FFCFCFCF"/>
      </top>
      <bottom style="thin">
        <color rgb="FFEF3E42"/>
      </bottom>
      <diagonal/>
    </border>
    <border>
      <left/>
      <right style="thin">
        <color rgb="FFEF3E42"/>
      </right>
      <top style="thin">
        <color rgb="FFEF3E42"/>
      </top>
      <bottom style="thin">
        <color rgb="FFEF3E42"/>
      </bottom>
      <diagonal/>
    </border>
    <border>
      <left/>
      <right style="thin">
        <color rgb="FFEF3E42"/>
      </right>
      <top/>
      <bottom style="thin">
        <color rgb="FFCFCFCF"/>
      </bottom>
      <diagonal/>
    </border>
    <border>
      <left/>
      <right style="thin">
        <color rgb="FFEF3E42"/>
      </right>
      <top style="thin">
        <color rgb="FFCFCFCF"/>
      </top>
      <bottom/>
      <diagonal/>
    </border>
    <border>
      <left style="thin">
        <color rgb="FF807F83"/>
      </left>
      <right style="thin">
        <color rgb="FFEF3E42"/>
      </right>
      <top/>
      <bottom/>
      <diagonal/>
    </border>
    <border>
      <left/>
      <right/>
      <top style="thin">
        <color rgb="FF807F83"/>
      </top>
      <bottom style="thin">
        <color rgb="FFCFCFCF"/>
      </bottom>
      <diagonal/>
    </border>
  </borders>
  <cellStyleXfs count="28298">
    <xf numFmtId="0" fontId="0" fillId="0" borderId="0"/>
    <xf numFmtId="0" fontId="8" fillId="0" borderId="0" applyNumberFormat="0" applyFill="0" applyBorder="0" applyAlignment="0" applyProtection="0"/>
    <xf numFmtId="0" fontId="12" fillId="0" borderId="0"/>
    <xf numFmtId="174" fontId="12" fillId="0" borderId="0" applyFont="0" applyFill="0" applyBorder="0" applyAlignment="0" applyProtection="0"/>
    <xf numFmtId="9" fontId="12" fillId="0" borderId="0" applyFont="0" applyFill="0" applyBorder="0" applyAlignment="0" applyProtection="0"/>
    <xf numFmtId="174" fontId="13" fillId="0" borderId="0" applyFont="0" applyFill="0" applyBorder="0" applyAlignment="0" applyProtection="0"/>
    <xf numFmtId="0" fontId="1" fillId="0" borderId="0"/>
    <xf numFmtId="174" fontId="1" fillId="0" borderId="0" applyFont="0" applyFill="0" applyBorder="0" applyAlignment="0" applyProtection="0"/>
    <xf numFmtId="0" fontId="15" fillId="0" borderId="0"/>
    <xf numFmtId="0" fontId="15" fillId="0" borderId="0"/>
    <xf numFmtId="43" fontId="13" fillId="0" borderId="0" applyFont="0" applyFill="0" applyBorder="0" applyAlignment="0" applyProtection="0"/>
    <xf numFmtId="9" fontId="12" fillId="0" borderId="0" applyFont="0" applyFill="0" applyBorder="0" applyAlignment="0" applyProtection="0"/>
    <xf numFmtId="0" fontId="1" fillId="0" borderId="0"/>
    <xf numFmtId="177" fontId="1" fillId="0" borderId="0"/>
    <xf numFmtId="9" fontId="12" fillId="0" borderId="0" applyFont="0" applyFill="0" applyBorder="0" applyAlignment="0" applyProtection="0"/>
    <xf numFmtId="177" fontId="14" fillId="6" borderId="15" applyNumberFormat="0" applyProtection="0">
      <alignment horizontal="left" vertical="center" indent="1"/>
    </xf>
    <xf numFmtId="177" fontId="13" fillId="0" borderId="0">
      <alignment vertical="center"/>
    </xf>
    <xf numFmtId="177" fontId="21" fillId="0" borderId="0"/>
    <xf numFmtId="9" fontId="22" fillId="0" borderId="0">
      <alignment horizontal="right"/>
    </xf>
    <xf numFmtId="177" fontId="21" fillId="0" borderId="0"/>
    <xf numFmtId="177" fontId="2" fillId="0" borderId="0" applyNumberFormat="0" applyFill="0" applyBorder="0" applyAlignment="0" applyProtection="0"/>
    <xf numFmtId="177" fontId="14" fillId="0" borderId="0"/>
    <xf numFmtId="177" fontId="23" fillId="0" borderId="0">
      <alignment horizontal="right"/>
    </xf>
    <xf numFmtId="177" fontId="19" fillId="0" borderId="0"/>
    <xf numFmtId="177" fontId="24" fillId="0" borderId="0">
      <alignment horizontal="right"/>
    </xf>
    <xf numFmtId="177" fontId="24" fillId="0" borderId="0">
      <alignment horizontal="right"/>
    </xf>
    <xf numFmtId="177" fontId="25" fillId="0" borderId="0">
      <alignment horizontal="right"/>
    </xf>
    <xf numFmtId="164" fontId="26" fillId="5" borderId="0">
      <alignment horizontal="right"/>
    </xf>
    <xf numFmtId="177" fontId="23" fillId="5" borderId="0">
      <alignment horizontal="right"/>
    </xf>
    <xf numFmtId="177" fontId="27" fillId="5" borderId="0" applyBorder="0">
      <alignment horizontal="right"/>
    </xf>
    <xf numFmtId="166" fontId="2" fillId="0" borderId="0" applyFont="0" applyFill="0" applyBorder="0" applyAlignment="0" applyProtection="0"/>
    <xf numFmtId="164" fontId="2" fillId="0" borderId="0" applyFont="0" applyFill="0" applyBorder="0" applyAlignment="0" applyProtection="0"/>
    <xf numFmtId="177" fontId="19" fillId="0" borderId="0"/>
    <xf numFmtId="177" fontId="19" fillId="0" borderId="0"/>
    <xf numFmtId="177" fontId="25" fillId="0" borderId="0">
      <alignment horizontal="right"/>
    </xf>
    <xf numFmtId="177" fontId="25" fillId="0" borderId="0">
      <alignment horizontal="right"/>
    </xf>
    <xf numFmtId="177" fontId="25" fillId="0" borderId="0">
      <alignment horizontal="right"/>
    </xf>
    <xf numFmtId="164" fontId="2" fillId="0" borderId="0" applyFont="0" applyFill="0" applyBorder="0" applyAlignment="0" applyProtection="0"/>
    <xf numFmtId="177" fontId="14" fillId="0" borderId="0"/>
    <xf numFmtId="177" fontId="28" fillId="0" borderId="0"/>
    <xf numFmtId="177" fontId="2" fillId="0" borderId="0"/>
    <xf numFmtId="177" fontId="2" fillId="0" borderId="0"/>
    <xf numFmtId="177" fontId="14" fillId="0" borderId="0"/>
    <xf numFmtId="177" fontId="14" fillId="0" borderId="0"/>
    <xf numFmtId="177" fontId="14" fillId="0" borderId="0"/>
    <xf numFmtId="177" fontId="21" fillId="0" borderId="0"/>
    <xf numFmtId="177" fontId="21" fillId="0" borderId="0"/>
    <xf numFmtId="177" fontId="21" fillId="0" borderId="0"/>
    <xf numFmtId="177" fontId="21" fillId="0" borderId="0"/>
    <xf numFmtId="177" fontId="14" fillId="0" borderId="0"/>
    <xf numFmtId="9" fontId="2" fillId="0" borderId="0"/>
    <xf numFmtId="177" fontId="29" fillId="0" borderId="0" applyNumberFormat="0" applyFont="0" applyFill="0" applyBorder="0" applyAlignment="0" applyProtection="0"/>
    <xf numFmtId="39" fontId="30" fillId="0" borderId="0"/>
    <xf numFmtId="177" fontId="31" fillId="0" borderId="0"/>
    <xf numFmtId="37" fontId="2" fillId="0" borderId="7" applyFont="0" applyFill="0" applyBorder="0" applyAlignment="0" applyProtection="0"/>
    <xf numFmtId="177" fontId="2" fillId="0" borderId="0"/>
    <xf numFmtId="177" fontId="20" fillId="0" borderId="0">
      <alignment horizontal="right"/>
      <protection locked="0"/>
    </xf>
    <xf numFmtId="177" fontId="20" fillId="0" borderId="0">
      <alignment horizontal="right"/>
      <protection locked="0"/>
    </xf>
    <xf numFmtId="37" fontId="2" fillId="0" borderId="7" applyFont="0" applyFill="0" applyBorder="0" applyAlignment="0" applyProtection="0"/>
    <xf numFmtId="177" fontId="24" fillId="0" borderId="0"/>
    <xf numFmtId="177" fontId="2" fillId="0" borderId="5"/>
    <xf numFmtId="177" fontId="2" fillId="0" borderId="5"/>
    <xf numFmtId="177" fontId="2" fillId="0" borderId="5"/>
    <xf numFmtId="177" fontId="2" fillId="0" borderId="5"/>
    <xf numFmtId="177" fontId="2" fillId="0" borderId="5"/>
    <xf numFmtId="177" fontId="2" fillId="0" borderId="5"/>
    <xf numFmtId="177" fontId="2" fillId="0" borderId="5"/>
    <xf numFmtId="177" fontId="2" fillId="0" borderId="5"/>
    <xf numFmtId="177" fontId="2" fillId="0" borderId="5"/>
    <xf numFmtId="177" fontId="2" fillId="0" borderId="5"/>
    <xf numFmtId="177" fontId="2" fillId="0" borderId="5"/>
    <xf numFmtId="177" fontId="2" fillId="0" borderId="5"/>
    <xf numFmtId="177" fontId="24" fillId="0" borderId="0"/>
    <xf numFmtId="39" fontId="24" fillId="0" borderId="0" applyFont="0" applyFill="0" applyBorder="0" applyAlignment="0" applyProtection="0"/>
    <xf numFmtId="177" fontId="2" fillId="0" borderId="0" applyFont="0" applyFill="0" applyBorder="0" applyAlignment="0" applyProtection="0"/>
    <xf numFmtId="177" fontId="24" fillId="0" borderId="0" applyFont="0" applyFill="0" applyBorder="0" applyAlignment="0" applyProtection="0"/>
    <xf numFmtId="177" fontId="2" fillId="0" borderId="0"/>
    <xf numFmtId="2" fontId="32" fillId="0" borderId="0" applyFont="0" applyFill="0" applyBorder="0" applyAlignment="0" applyProtection="0"/>
    <xf numFmtId="177" fontId="2" fillId="0" borderId="0" applyFont="0" applyFill="0" applyBorder="0" applyAlignment="0" applyProtection="0"/>
    <xf numFmtId="39" fontId="2" fillId="0" borderId="0"/>
    <xf numFmtId="177" fontId="2" fillId="0" borderId="0"/>
    <xf numFmtId="177" fontId="14" fillId="0" borderId="0" applyFont="0" applyFill="0" applyBorder="0" applyAlignment="0" applyProtection="0"/>
    <xf numFmtId="177" fontId="30" fillId="0" borderId="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33" fillId="0" borderId="0" applyNumberFormat="0" applyFill="0" applyBorder="0" applyAlignment="0" applyProtection="0">
      <alignment vertical="top"/>
      <protection locked="0"/>
    </xf>
    <xf numFmtId="177" fontId="14" fillId="0" borderId="0" applyFont="0" applyFill="0" applyBorder="0" applyAlignment="0" applyProtection="0"/>
    <xf numFmtId="177" fontId="34" fillId="0" borderId="0"/>
    <xf numFmtId="39" fontId="24" fillId="0" borderId="0"/>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4" fillId="0" borderId="0" applyFont="0" applyFill="0" applyBorder="0" applyProtection="0">
      <alignment wrapText="1"/>
    </xf>
    <xf numFmtId="177" fontId="14" fillId="0" borderId="0" applyFont="0" applyFill="0" applyBorder="0" applyProtection="0">
      <alignment horizontal="left" wrapText="1"/>
    </xf>
    <xf numFmtId="177" fontId="14" fillId="0" borderId="0" applyFont="0" applyFill="0" applyBorder="0" applyProtection="0">
      <alignment wrapText="1"/>
    </xf>
    <xf numFmtId="177" fontId="14" fillId="0" borderId="0" applyFont="0" applyFill="0" applyBorder="0" applyProtection="0">
      <alignment wrapText="1"/>
    </xf>
    <xf numFmtId="177" fontId="14" fillId="0" borderId="0" applyFont="0" applyFill="0" applyBorder="0" applyProtection="0">
      <alignment wrapText="1"/>
    </xf>
    <xf numFmtId="177" fontId="14" fillId="0" borderId="0" applyFont="0" applyFill="0" applyBorder="0" applyProtection="0">
      <alignment wrapText="1"/>
    </xf>
    <xf numFmtId="178" fontId="21" fillId="0" borderId="0" applyFont="0" applyFill="0" applyBorder="0" applyAlignment="0" applyProtection="0"/>
    <xf numFmtId="177" fontId="30" fillId="0" borderId="0" applyFill="0" applyBorder="0" applyAlignment="0" applyProtection="0"/>
    <xf numFmtId="179" fontId="35" fillId="0" borderId="0" applyFont="0" applyFill="0" applyAlignment="0" applyProtection="0"/>
    <xf numFmtId="179" fontId="14" fillId="0" borderId="0" applyFill="0" applyAlignment="0" applyProtection="0"/>
    <xf numFmtId="179" fontId="14" fillId="0" borderId="0" applyFill="0" applyAlignment="0" applyProtection="0"/>
    <xf numFmtId="180" fontId="14" fillId="0" borderId="0" applyFill="0" applyBorder="0" applyAlignment="0" applyProtection="0"/>
    <xf numFmtId="180" fontId="14" fillId="0" borderId="0" applyFill="0" applyBorder="0" applyAlignment="0" applyProtection="0"/>
    <xf numFmtId="181" fontId="21" fillId="0" borderId="0" applyFont="0" applyFill="0" applyBorder="0" applyAlignment="0" applyProtection="0"/>
    <xf numFmtId="177" fontId="30" fillId="0" borderId="0" applyFill="0" applyBorder="0" applyAlignment="0" applyProtection="0"/>
    <xf numFmtId="181" fontId="35" fillId="0" borderId="0" applyFont="0" applyFill="0" applyAlignment="0" applyProtection="0"/>
    <xf numFmtId="181" fontId="14" fillId="0" borderId="0" applyFill="0" applyAlignment="0" applyProtection="0"/>
    <xf numFmtId="181" fontId="14" fillId="0" borderId="0" applyFill="0" applyAlignment="0" applyProtection="0"/>
    <xf numFmtId="181" fontId="14" fillId="0" borderId="0" applyFill="0" applyBorder="0" applyAlignment="0" applyProtection="0"/>
    <xf numFmtId="181" fontId="14" fillId="0" borderId="0" applyFill="0" applyBorder="0" applyAlignment="0" applyProtection="0"/>
    <xf numFmtId="177" fontId="14" fillId="0" borderId="0" applyFont="0" applyFill="0" applyBorder="0" applyProtection="0">
      <alignment horizontal="right"/>
    </xf>
    <xf numFmtId="177" fontId="14" fillId="0" borderId="0" applyFont="0" applyFill="0" applyBorder="0" applyProtection="0">
      <alignment horizontal="right"/>
    </xf>
    <xf numFmtId="177" fontId="19" fillId="0" borderId="0" applyFill="0" applyBorder="0">
      <alignment horizontal="right"/>
      <protection locked="0"/>
    </xf>
    <xf numFmtId="177" fontId="19" fillId="0" borderId="0" applyFill="0" applyBorder="0">
      <alignment horizontal="right"/>
      <protection locked="0"/>
    </xf>
    <xf numFmtId="177" fontId="20" fillId="0" borderId="0">
      <alignment horizontal="right"/>
      <protection locked="0"/>
    </xf>
    <xf numFmtId="177" fontId="19" fillId="0" borderId="0" applyFill="0" applyBorder="0">
      <alignment horizontal="right"/>
      <protection locked="0"/>
    </xf>
    <xf numFmtId="177" fontId="20" fillId="0" borderId="0">
      <alignment horizontal="right"/>
      <protection locked="0"/>
    </xf>
    <xf numFmtId="177" fontId="14" fillId="0" borderId="0" applyFont="0" applyFill="0" applyBorder="0" applyProtection="0">
      <alignment horizontal="right"/>
    </xf>
    <xf numFmtId="177" fontId="14" fillId="0" borderId="0" applyFont="0" applyFill="0" applyBorder="0" applyProtection="0">
      <alignment horizontal="right"/>
    </xf>
    <xf numFmtId="177" fontId="14" fillId="0" borderId="0" applyFont="0" applyFill="0" applyBorder="0" applyProtection="0">
      <alignment horizontal="right"/>
    </xf>
    <xf numFmtId="177" fontId="14" fillId="0" borderId="0" applyFont="0" applyFill="0" applyBorder="0" applyProtection="0">
      <alignment horizontal="right"/>
    </xf>
    <xf numFmtId="177" fontId="14" fillId="0" borderId="0" applyFont="0" applyFill="0" applyBorder="0" applyProtection="0">
      <alignment horizontal="right"/>
    </xf>
    <xf numFmtId="177" fontId="19" fillId="0" borderId="0" applyFill="0" applyBorder="0">
      <alignment horizontal="right"/>
      <protection locked="0"/>
    </xf>
    <xf numFmtId="177" fontId="14" fillId="0" borderId="0" applyFont="0" applyFill="0" applyBorder="0" applyProtection="0">
      <alignment horizontal="right"/>
    </xf>
    <xf numFmtId="177" fontId="19" fillId="0" borderId="0" applyFill="0" applyBorder="0">
      <alignment horizontal="right"/>
      <protection locked="0"/>
    </xf>
    <xf numFmtId="177" fontId="20" fillId="0" borderId="0">
      <alignment horizontal="right"/>
      <protection locked="0"/>
    </xf>
    <xf numFmtId="177" fontId="14" fillId="0" borderId="0" applyFont="0" applyFill="0" applyBorder="0" applyProtection="0">
      <alignment horizontal="right"/>
    </xf>
    <xf numFmtId="177" fontId="20" fillId="0" borderId="0">
      <alignment horizontal="right"/>
      <protection locked="0"/>
    </xf>
    <xf numFmtId="177" fontId="19" fillId="0" borderId="0" applyFill="0" applyBorder="0">
      <alignment horizontal="right"/>
      <protection locked="0"/>
    </xf>
    <xf numFmtId="177" fontId="20" fillId="0" borderId="0">
      <alignment horizontal="right"/>
      <protection locked="0"/>
    </xf>
    <xf numFmtId="177" fontId="14" fillId="0" borderId="0">
      <alignment vertical="top"/>
    </xf>
    <xf numFmtId="177" fontId="14" fillId="0" borderId="0" applyFont="0" applyFill="0" applyBorder="0" applyAlignment="0" applyProtection="0"/>
    <xf numFmtId="177" fontId="14" fillId="0" borderId="0">
      <alignment vertical="top"/>
    </xf>
    <xf numFmtId="177" fontId="14" fillId="0" borderId="0">
      <alignment vertical="top"/>
    </xf>
    <xf numFmtId="177" fontId="14" fillId="0" borderId="0">
      <alignment vertical="top"/>
    </xf>
    <xf numFmtId="177" fontId="36" fillId="0" borderId="0"/>
    <xf numFmtId="177" fontId="37" fillId="7" borderId="0" applyNumberFormat="0" applyAlignment="0"/>
    <xf numFmtId="177" fontId="29" fillId="0" borderId="0" applyNumberFormat="0" applyFill="0" applyBorder="0" applyAlignment="0" applyProtection="0"/>
    <xf numFmtId="177" fontId="14" fillId="0" borderId="0" applyFont="0" applyFill="0" applyBorder="0" applyAlignment="0" applyProtection="0"/>
    <xf numFmtId="177" fontId="38" fillId="0" borderId="0"/>
    <xf numFmtId="177" fontId="39" fillId="0" borderId="0"/>
    <xf numFmtId="177" fontId="38" fillId="0" borderId="0"/>
    <xf numFmtId="177" fontId="14" fillId="0" borderId="0" applyFont="0" applyFill="0" applyBorder="0" applyAlignment="0" applyProtection="0"/>
    <xf numFmtId="182" fontId="21"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30" fillId="0" borderId="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9"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82" fontId="35" fillId="0" borderId="0" applyFont="0" applyFill="0" applyAlignment="0" applyProtection="0"/>
    <xf numFmtId="182" fontId="14" fillId="0" borderId="0" applyFill="0" applyAlignment="0" applyProtection="0"/>
    <xf numFmtId="182" fontId="14" fillId="0" borderId="0" applyFill="0" applyAlignment="0" applyProtection="0"/>
    <xf numFmtId="177" fontId="14" fillId="0" borderId="0" applyFont="0" applyFill="0" applyBorder="0" applyAlignment="0" applyProtection="0"/>
    <xf numFmtId="182" fontId="14" fillId="0" borderId="0" applyFill="0" applyBorder="0" applyAlignment="0" applyProtection="0"/>
    <xf numFmtId="177" fontId="14" fillId="0" borderId="0" applyFont="0" applyFill="0" applyBorder="0" applyAlignment="0" applyProtection="0"/>
    <xf numFmtId="182" fontId="14" fillId="0" borderId="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3" fillId="0" borderId="0"/>
    <xf numFmtId="177" fontId="3" fillId="0" borderId="0"/>
    <xf numFmtId="177" fontId="3" fillId="0" borderId="0"/>
    <xf numFmtId="177" fontId="3" fillId="0" borderId="0"/>
    <xf numFmtId="177" fontId="14" fillId="0" borderId="0"/>
    <xf numFmtId="177" fontId="14"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4" fillId="0" borderId="0"/>
    <xf numFmtId="177" fontId="3" fillId="0" borderId="0"/>
    <xf numFmtId="177" fontId="3" fillId="0" borderId="0"/>
    <xf numFmtId="177" fontId="3" fillId="0" borderId="0"/>
    <xf numFmtId="177" fontId="3" fillId="0" borderId="0"/>
    <xf numFmtId="177" fontId="14" fillId="0" borderId="0"/>
    <xf numFmtId="177" fontId="14"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4" fillId="0" borderId="0"/>
    <xf numFmtId="177" fontId="14" fillId="0" borderId="0" applyFont="0" applyFill="0" applyBorder="0" applyAlignment="0" applyProtection="0"/>
    <xf numFmtId="183" fontId="21"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14" fillId="0" borderId="0" applyFont="0" applyFill="0" applyBorder="0" applyAlignment="0" applyProtection="0"/>
    <xf numFmtId="177" fontId="30" fillId="0" borderId="0" applyFill="0" applyBorder="0" applyAlignment="0" applyProtection="0"/>
    <xf numFmtId="177" fontId="14" fillId="0" borderId="0" applyFont="0" applyFill="0" applyBorder="0" applyAlignment="0" applyProtection="0"/>
    <xf numFmtId="177" fontId="40" fillId="0" borderId="0" applyFont="0" applyFill="0" applyBorder="0" applyAlignment="0" applyProtection="0"/>
    <xf numFmtId="177" fontId="19"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84" fontId="35" fillId="0" borderId="0" applyFont="0" applyFill="0" applyAlignment="0" applyProtection="0"/>
    <xf numFmtId="184" fontId="14" fillId="0" borderId="0" applyFill="0" applyAlignment="0" applyProtection="0"/>
    <xf numFmtId="184" fontId="14" fillId="0" borderId="0" applyFill="0" applyAlignment="0" applyProtection="0"/>
    <xf numFmtId="177" fontId="40" fillId="0" borderId="0" applyFont="0" applyFill="0" applyBorder="0" applyAlignment="0" applyProtection="0"/>
    <xf numFmtId="176" fontId="40" fillId="0" borderId="0" applyFont="0" applyFill="0" applyBorder="0" applyAlignment="0" applyProtection="0"/>
    <xf numFmtId="177" fontId="14" fillId="0" borderId="0" applyFont="0" applyFill="0" applyBorder="0" applyAlignment="0" applyProtection="0"/>
    <xf numFmtId="177" fontId="40" fillId="0" borderId="0" applyFont="0" applyFill="0" applyBorder="0" applyAlignment="0" applyProtection="0"/>
    <xf numFmtId="185" fontId="3"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86" fontId="19"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177" fontId="30" fillId="0" borderId="0" applyFill="0" applyBorder="0" applyAlignment="0" applyProtection="0"/>
    <xf numFmtId="39" fontId="14" fillId="0" borderId="0" applyFont="0" applyFill="0" applyBorder="0" applyAlignment="0" applyProtection="0"/>
    <xf numFmtId="177" fontId="19" fillId="0" borderId="0" applyFont="0" applyFill="0" applyBorder="0" applyAlignment="0" applyProtection="0"/>
    <xf numFmtId="39" fontId="14" fillId="0" borderId="0" applyFont="0" applyFill="0" applyBorder="0" applyAlignment="0" applyProtection="0"/>
    <xf numFmtId="186" fontId="35" fillId="0" borderId="0" applyFont="0" applyFill="0" applyAlignment="0" applyProtection="0"/>
    <xf numFmtId="186" fontId="14" fillId="0" borderId="0" applyFill="0" applyAlignment="0" applyProtection="0"/>
    <xf numFmtId="186" fontId="14" fillId="0" borderId="0" applyFill="0" applyAlignment="0" applyProtection="0"/>
    <xf numFmtId="186" fontId="14" fillId="0" borderId="0" applyFill="0" applyBorder="0" applyAlignment="0" applyProtection="0"/>
    <xf numFmtId="186" fontId="14" fillId="0" borderId="0" applyFill="0" applyBorder="0" applyAlignment="0" applyProtection="0"/>
    <xf numFmtId="177" fontId="14" fillId="0" borderId="0" applyFont="0" applyFill="0" applyBorder="0" applyAlignment="0" applyProtection="0"/>
    <xf numFmtId="177" fontId="14" fillId="0" borderId="0">
      <alignment vertical="top"/>
    </xf>
    <xf numFmtId="187" fontId="21" fillId="0" borderId="0" applyFont="0" applyFill="0" applyBorder="0" applyAlignment="0" applyProtection="0"/>
    <xf numFmtId="177" fontId="30" fillId="0" borderId="0" applyFill="0" applyBorder="0" applyAlignment="0" applyProtection="0"/>
    <xf numFmtId="188" fontId="35" fillId="0" borderId="0" applyFont="0" applyFill="0" applyAlignment="0" applyProtection="0"/>
    <xf numFmtId="188" fontId="14" fillId="0" borderId="0" applyFill="0" applyBorder="0" applyAlignment="0" applyProtection="0"/>
    <xf numFmtId="188" fontId="14" fillId="0" borderId="0" applyFill="0" applyBorder="0" applyAlignment="0" applyProtection="0"/>
    <xf numFmtId="177" fontId="14" fillId="0" borderId="0">
      <alignment vertical="top"/>
    </xf>
    <xf numFmtId="177" fontId="14" fillId="0" borderId="0">
      <alignment vertical="top"/>
    </xf>
    <xf numFmtId="177" fontId="14" fillId="0" borderId="0">
      <alignment vertical="top"/>
    </xf>
    <xf numFmtId="177" fontId="14" fillId="0" borderId="0">
      <alignment vertical="top"/>
    </xf>
    <xf numFmtId="177" fontId="14" fillId="0" borderId="0">
      <alignment vertical="top"/>
    </xf>
    <xf numFmtId="177" fontId="41" fillId="0" borderId="0" applyNumberFormat="0" applyFill="0" applyBorder="0" applyAlignment="0" applyProtection="0"/>
    <xf numFmtId="189" fontId="41" fillId="0" borderId="0" applyFill="0" applyAlignment="0" applyProtection="0"/>
    <xf numFmtId="177" fontId="42" fillId="0" borderId="0" applyNumberFormat="0" applyFill="0" applyBorder="0" applyAlignment="0" applyProtection="0"/>
    <xf numFmtId="177" fontId="42" fillId="0" borderId="0" applyNumberFormat="0" applyFill="0" applyBorder="0" applyAlignment="0" applyProtection="0"/>
    <xf numFmtId="177" fontId="42" fillId="0" borderId="0" applyNumberFormat="0" applyFill="0" applyBorder="0" applyAlignment="0" applyProtection="0"/>
    <xf numFmtId="177" fontId="41" fillId="0" borderId="0" applyNumberFormat="0" applyFill="0" applyBorder="0" applyAlignment="0" applyProtection="0"/>
    <xf numFmtId="177" fontId="41" fillId="0" borderId="0" applyNumberFormat="0" applyFill="0" applyBorder="0" applyAlignment="0" applyProtection="0"/>
    <xf numFmtId="177" fontId="41" fillId="0" borderId="0" applyNumberFormat="0" applyFill="0" applyBorder="0" applyAlignment="0" applyProtection="0"/>
    <xf numFmtId="177" fontId="41" fillId="0" borderId="0" applyNumberFormat="0" applyFill="0" applyBorder="0" applyAlignment="0" applyProtection="0"/>
    <xf numFmtId="177" fontId="21" fillId="8" borderId="0" applyNumberFormat="0" applyFont="0" applyAlignment="0" applyProtection="0"/>
    <xf numFmtId="177" fontId="30" fillId="9" borderId="0" applyNumberFormat="0" applyAlignment="0" applyProtection="0"/>
    <xf numFmtId="189" fontId="35" fillId="9" borderId="0" applyFont="0" applyAlignment="0" applyProtection="0"/>
    <xf numFmtId="177" fontId="14" fillId="0" borderId="0" applyNumberFormat="0" applyFill="0" applyBorder="0" applyAlignment="0" applyProtection="0"/>
    <xf numFmtId="177" fontId="27" fillId="0" borderId="0">
      <alignment vertical="top"/>
    </xf>
    <xf numFmtId="177" fontId="27" fillId="0" borderId="0">
      <alignment vertical="top"/>
    </xf>
    <xf numFmtId="177" fontId="27" fillId="0" borderId="0">
      <alignment vertical="top"/>
    </xf>
    <xf numFmtId="190" fontId="30" fillId="0" borderId="0"/>
    <xf numFmtId="177" fontId="29" fillId="0" borderId="0" applyNumberFormat="0" applyFill="0" applyBorder="0" applyAlignment="0" applyProtection="0"/>
    <xf numFmtId="191" fontId="21" fillId="0" borderId="0" applyFont="0" applyFill="0" applyBorder="0" applyAlignment="0" applyProtection="0"/>
    <xf numFmtId="176" fontId="40" fillId="0" borderId="0" applyFont="0" applyFill="0" applyBorder="0" applyAlignment="0" applyProtection="0"/>
    <xf numFmtId="177" fontId="14" fillId="0" borderId="0" applyFont="0" applyFill="0" applyBorder="0" applyAlignment="0" applyProtection="0"/>
    <xf numFmtId="177" fontId="30" fillId="0" borderId="0" applyFill="0" applyBorder="0" applyAlignment="0" applyProtection="0"/>
    <xf numFmtId="177" fontId="14" fillId="0" borderId="0" applyFont="0" applyFill="0" applyBorder="0" applyAlignment="0" applyProtection="0"/>
    <xf numFmtId="177" fontId="19"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92" fontId="35" fillId="0" borderId="0" applyFont="0" applyFill="0" applyAlignment="0" applyProtection="0"/>
    <xf numFmtId="192" fontId="14" fillId="0" borderId="0" applyFill="0" applyBorder="0" applyAlignment="0" applyProtection="0"/>
    <xf numFmtId="192" fontId="14" fillId="0" borderId="0" applyFill="0" applyBorder="0" applyAlignment="0" applyProtection="0"/>
    <xf numFmtId="193" fontId="21" fillId="0" borderId="0" applyFont="0" applyFill="0" applyBorder="0" applyProtection="0">
      <alignment horizontal="right"/>
    </xf>
    <xf numFmtId="177" fontId="40"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24" fillId="0" borderId="0" applyFont="0" applyFill="0" applyBorder="0" applyAlignment="0" applyProtection="0"/>
    <xf numFmtId="177" fontId="14" fillId="0" borderId="0" applyFont="0" applyFill="0" applyBorder="0" applyAlignment="0" applyProtection="0"/>
    <xf numFmtId="177" fontId="24" fillId="0" borderId="0" applyFont="0" applyFill="0" applyBorder="0" applyAlignment="0" applyProtection="0"/>
    <xf numFmtId="177" fontId="14" fillId="0" borderId="0" applyFont="0" applyFill="0" applyBorder="0" applyAlignment="0" applyProtection="0"/>
    <xf numFmtId="177" fontId="3" fillId="0" borderId="0" applyFont="0" applyFill="0" applyBorder="0" applyAlignment="0" applyProtection="0"/>
    <xf numFmtId="177" fontId="2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30" fillId="0" borderId="0" applyFill="0" applyBorder="0" applyProtection="0">
      <alignment horizontal="right"/>
    </xf>
    <xf numFmtId="177" fontId="14" fillId="0" borderId="0" applyFont="0" applyFill="0" applyBorder="0" applyAlignment="0" applyProtection="0"/>
    <xf numFmtId="177" fontId="19"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43" fillId="0" borderId="0" applyFill="0" applyAlignment="0" applyProtection="0"/>
    <xf numFmtId="177" fontId="43" fillId="0" borderId="0" applyFill="0" applyAlignment="0" applyProtection="0"/>
    <xf numFmtId="177" fontId="43" fillId="0" borderId="0" applyFill="0" applyAlignment="0" applyProtection="0"/>
    <xf numFmtId="193" fontId="35" fillId="0" borderId="0" applyFont="0" applyFill="0" applyProtection="0">
      <alignment horizontal="right"/>
    </xf>
    <xf numFmtId="177" fontId="14" fillId="0" borderId="0">
      <alignment vertical="top"/>
    </xf>
    <xf numFmtId="177" fontId="3" fillId="0" borderId="0"/>
    <xf numFmtId="177" fontId="3" fillId="0" borderId="0"/>
    <xf numFmtId="177" fontId="3" fillId="0" borderId="0"/>
    <xf numFmtId="177" fontId="3" fillId="0" borderId="0"/>
    <xf numFmtId="177" fontId="3" fillId="0" borderId="0"/>
    <xf numFmtId="177" fontId="14" fillId="0" borderId="0"/>
    <xf numFmtId="177" fontId="14"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4" fillId="0" borderId="0"/>
    <xf numFmtId="177" fontId="3" fillId="0" borderId="0"/>
    <xf numFmtId="177" fontId="3" fillId="0" borderId="0"/>
    <xf numFmtId="177" fontId="3" fillId="0" borderId="0"/>
    <xf numFmtId="177" fontId="14" fillId="0" borderId="0"/>
    <xf numFmtId="177" fontId="14"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4" fillId="0" borderId="0"/>
    <xf numFmtId="177" fontId="3" fillId="0" borderId="0"/>
    <xf numFmtId="177" fontId="3" fillId="0" borderId="0"/>
    <xf numFmtId="177" fontId="3" fillId="0" borderId="0"/>
    <xf numFmtId="177" fontId="3" fillId="0" borderId="0"/>
    <xf numFmtId="177" fontId="14" fillId="0" borderId="0"/>
    <xf numFmtId="177" fontId="14"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4" fillId="0" borderId="0"/>
    <xf numFmtId="177" fontId="3" fillId="0" borderId="0"/>
    <xf numFmtId="177" fontId="3" fillId="0" borderId="0"/>
    <xf numFmtId="177" fontId="3" fillId="0" borderId="0"/>
    <xf numFmtId="177" fontId="3" fillId="0" borderId="0"/>
    <xf numFmtId="177" fontId="3" fillId="0" borderId="0"/>
    <xf numFmtId="177" fontId="14" fillId="0" borderId="0"/>
    <xf numFmtId="177" fontId="14"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4" fillId="0" borderId="0"/>
    <xf numFmtId="177" fontId="3" fillId="0" borderId="0"/>
    <xf numFmtId="177" fontId="3" fillId="0" borderId="0"/>
    <xf numFmtId="177" fontId="3" fillId="0" borderId="0"/>
    <xf numFmtId="177" fontId="14" fillId="0" borderId="0"/>
    <xf numFmtId="177" fontId="14"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4" fillId="0" borderId="0"/>
    <xf numFmtId="177" fontId="14" fillId="0" borderId="0"/>
    <xf numFmtId="177" fontId="3" fillId="0" borderId="0"/>
    <xf numFmtId="177" fontId="3" fillId="0" borderId="0"/>
    <xf numFmtId="177" fontId="3" fillId="0" borderId="0"/>
    <xf numFmtId="177" fontId="3" fillId="0" borderId="0"/>
    <xf numFmtId="177" fontId="3" fillId="0" borderId="0"/>
    <xf numFmtId="177" fontId="3" fillId="0" borderId="0"/>
    <xf numFmtId="177" fontId="14" fillId="0" borderId="0"/>
    <xf numFmtId="177" fontId="14" fillId="0" borderId="0"/>
    <xf numFmtId="177" fontId="14" fillId="0" borderId="0" applyFont="0" applyFill="0" applyBorder="0" applyAlignment="0" applyProtection="0"/>
    <xf numFmtId="177" fontId="3"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9" fillId="0" borderId="0" applyFont="0" applyFill="0" applyBorder="0" applyAlignment="0" applyProtection="0"/>
    <xf numFmtId="177" fontId="14" fillId="0" borderId="0" applyFont="0" applyFill="0" applyBorder="0" applyAlignment="0" applyProtection="0"/>
    <xf numFmtId="177" fontId="19" fillId="0" borderId="0">
      <protection locked="0"/>
    </xf>
    <xf numFmtId="177" fontId="14" fillId="0" borderId="0" applyFont="0" applyFill="0" applyBorder="0" applyAlignment="0" applyProtection="0"/>
    <xf numFmtId="177" fontId="3"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40"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9" fillId="0" borderId="0" applyFont="0" applyFill="0" applyBorder="0" applyAlignment="0" applyProtection="0"/>
    <xf numFmtId="177" fontId="14" fillId="0" borderId="0" applyFont="0" applyFill="0" applyBorder="0" applyAlignment="0" applyProtection="0"/>
    <xf numFmtId="177" fontId="3" fillId="0" borderId="0" applyFont="0" applyFill="0" applyBorder="0" applyAlignment="0" applyProtection="0"/>
    <xf numFmtId="177" fontId="27" fillId="0" borderId="0">
      <alignment vertical="top"/>
    </xf>
    <xf numFmtId="177" fontId="27" fillId="0" borderId="0">
      <alignment vertical="top"/>
    </xf>
    <xf numFmtId="177" fontId="27" fillId="0" borderId="0">
      <alignment vertical="top"/>
    </xf>
    <xf numFmtId="177" fontId="14" fillId="0" borderId="0">
      <alignment horizontal="left" wrapText="1"/>
    </xf>
    <xf numFmtId="177" fontId="14" fillId="0" borderId="0">
      <alignment horizontal="left" wrapText="1"/>
    </xf>
    <xf numFmtId="177" fontId="44" fillId="7" borderId="0"/>
    <xf numFmtId="177" fontId="14" fillId="0" borderId="0" applyFont="0" applyFill="0" applyBorder="0" applyAlignment="0" applyProtection="0"/>
    <xf numFmtId="177" fontId="14" fillId="0" borderId="0" applyFont="0" applyFill="0" applyBorder="0" applyAlignment="0" applyProtection="0"/>
    <xf numFmtId="177" fontId="45" fillId="0" borderId="0" applyNumberFormat="0" applyFill="0" applyBorder="0" applyProtection="0">
      <alignment vertical="top"/>
    </xf>
    <xf numFmtId="189" fontId="45" fillId="0" borderId="0" applyFill="0" applyProtection="0">
      <alignment vertical="top"/>
    </xf>
    <xf numFmtId="177" fontId="46" fillId="0" borderId="0" applyNumberFormat="0" applyFill="0" applyBorder="0" applyProtection="0">
      <alignment vertical="top"/>
    </xf>
    <xf numFmtId="177" fontId="46" fillId="0" borderId="0" applyNumberFormat="0" applyFill="0" applyBorder="0" applyProtection="0">
      <alignment vertical="top"/>
    </xf>
    <xf numFmtId="177" fontId="46" fillId="0" borderId="0" applyNumberFormat="0" applyFill="0" applyBorder="0" applyProtection="0">
      <alignment vertical="top"/>
    </xf>
    <xf numFmtId="177" fontId="45" fillId="0" borderId="0" applyNumberFormat="0" applyFill="0" applyBorder="0" applyProtection="0">
      <alignment vertical="top"/>
    </xf>
    <xf numFmtId="177" fontId="45" fillId="0" borderId="0" applyNumberFormat="0" applyFill="0" applyBorder="0" applyProtection="0">
      <alignment vertical="top"/>
    </xf>
    <xf numFmtId="177" fontId="45" fillId="0" borderId="0" applyNumberFormat="0" applyFill="0" applyBorder="0" applyProtection="0">
      <alignment vertical="top"/>
    </xf>
    <xf numFmtId="177" fontId="45" fillId="0" borderId="0" applyNumberFormat="0" applyFill="0" applyBorder="0" applyProtection="0">
      <alignment vertical="top"/>
    </xf>
    <xf numFmtId="177" fontId="47" fillId="0" borderId="17" applyNumberFormat="0" applyFill="0" applyAlignment="0" applyProtection="0"/>
    <xf numFmtId="177" fontId="47" fillId="0" borderId="17" applyNumberFormat="0" applyFill="0" applyAlignment="0" applyProtection="0"/>
    <xf numFmtId="177" fontId="47" fillId="0" borderId="17" applyNumberFormat="0" applyFill="0" applyAlignment="0" applyProtection="0"/>
    <xf numFmtId="177" fontId="47" fillId="0" borderId="17" applyNumberFormat="0" applyFill="0" applyAlignment="0" applyProtection="0"/>
    <xf numFmtId="177" fontId="47" fillId="0" borderId="17" applyNumberFormat="0" applyFill="0" applyAlignment="0" applyProtection="0"/>
    <xf numFmtId="177" fontId="47" fillId="0" borderId="17" applyNumberFormat="0" applyFill="0" applyAlignment="0" applyProtection="0"/>
    <xf numFmtId="189" fontId="47" fillId="0" borderId="17" applyFill="0" applyAlignment="0" applyProtection="0"/>
    <xf numFmtId="189" fontId="47" fillId="0" borderId="17" applyFill="0" applyAlignment="0" applyProtection="0"/>
    <xf numFmtId="189" fontId="47" fillId="0" borderId="17" applyFill="0" applyAlignment="0" applyProtection="0"/>
    <xf numFmtId="189" fontId="47" fillId="0" borderId="17" applyFill="0" applyAlignment="0" applyProtection="0"/>
    <xf numFmtId="189" fontId="47" fillId="0" borderId="17" applyFill="0" applyAlignment="0" applyProtection="0"/>
    <xf numFmtId="177" fontId="48" fillId="10" borderId="18">
      <alignment horizontal="centerContinuous" wrapText="1"/>
      <protection locked="0"/>
    </xf>
    <xf numFmtId="177" fontId="49" fillId="0" borderId="19" applyNumberFormat="0" applyFill="0" applyProtection="0">
      <alignment horizontal="center"/>
    </xf>
    <xf numFmtId="177" fontId="49" fillId="0" borderId="19" applyNumberFormat="0" applyFill="0" applyProtection="0">
      <alignment horizontal="center"/>
    </xf>
    <xf numFmtId="177" fontId="49" fillId="0" borderId="19" applyNumberFormat="0" applyFill="0" applyProtection="0">
      <alignment horizontal="center"/>
    </xf>
    <xf numFmtId="177" fontId="50" fillId="0" borderId="19" applyNumberFormat="0" applyFill="0" applyProtection="0">
      <alignment horizontal="center"/>
    </xf>
    <xf numFmtId="177" fontId="50" fillId="0" borderId="19" applyNumberFormat="0" applyFill="0" applyProtection="0">
      <alignment horizontal="center"/>
    </xf>
    <xf numFmtId="177" fontId="50" fillId="0" borderId="19" applyNumberFormat="0" applyFill="0" applyProtection="0">
      <alignment horizontal="center"/>
    </xf>
    <xf numFmtId="189" fontId="49" fillId="0" borderId="19" applyFill="0" applyProtection="0">
      <alignment horizontal="center"/>
    </xf>
    <xf numFmtId="189" fontId="49" fillId="0" borderId="19" applyFill="0" applyProtection="0">
      <alignment horizontal="center"/>
    </xf>
    <xf numFmtId="189" fontId="49" fillId="0" borderId="19" applyFill="0" applyProtection="0">
      <alignment horizontal="center"/>
    </xf>
    <xf numFmtId="189" fontId="49" fillId="0" borderId="19" applyFill="0" applyProtection="0">
      <alignment horizontal="center"/>
    </xf>
    <xf numFmtId="189" fontId="49" fillId="0" borderId="19" applyFill="0" applyProtection="0">
      <alignment horizontal="center"/>
    </xf>
    <xf numFmtId="177" fontId="50" fillId="0" borderId="19" applyNumberFormat="0" applyFill="0" applyProtection="0">
      <alignment horizontal="center"/>
    </xf>
    <xf numFmtId="177" fontId="50" fillId="0" borderId="19" applyNumberFormat="0" applyFill="0" applyProtection="0">
      <alignment horizontal="center"/>
    </xf>
    <xf numFmtId="177" fontId="50" fillId="0" borderId="19" applyNumberFormat="0" applyFill="0" applyProtection="0">
      <alignment horizontal="center"/>
    </xf>
    <xf numFmtId="177" fontId="49" fillId="0" borderId="19" applyNumberFormat="0" applyFill="0" applyProtection="0">
      <alignment horizontal="center"/>
    </xf>
    <xf numFmtId="177" fontId="49" fillId="0" borderId="19" applyNumberFormat="0" applyFill="0" applyProtection="0">
      <alignment horizontal="center"/>
    </xf>
    <xf numFmtId="177" fontId="49" fillId="0" borderId="19" applyNumberFormat="0" applyFill="0" applyProtection="0">
      <alignment horizontal="center"/>
    </xf>
    <xf numFmtId="177" fontId="49" fillId="0" borderId="19" applyNumberFormat="0" applyFill="0" applyProtection="0">
      <alignment horizontal="center"/>
    </xf>
    <xf numFmtId="177" fontId="49" fillId="0" borderId="19" applyNumberFormat="0" applyFill="0" applyProtection="0">
      <alignment horizontal="center"/>
    </xf>
    <xf numFmtId="177" fontId="49" fillId="0" borderId="0" applyNumberFormat="0" applyFill="0" applyBorder="0" applyProtection="0">
      <alignment horizontal="left"/>
    </xf>
    <xf numFmtId="189" fontId="49" fillId="0" borderId="0" applyFill="0" applyProtection="0">
      <alignment horizontal="left"/>
    </xf>
    <xf numFmtId="177" fontId="50" fillId="0" borderId="0" applyNumberFormat="0" applyFill="0" applyBorder="0" applyProtection="0">
      <alignment horizontal="left"/>
    </xf>
    <xf numFmtId="177" fontId="50" fillId="0" borderId="0" applyNumberFormat="0" applyFill="0" applyBorder="0" applyProtection="0">
      <alignment horizontal="left"/>
    </xf>
    <xf numFmtId="177" fontId="50" fillId="0" borderId="0" applyNumberFormat="0" applyFill="0" applyBorder="0" applyProtection="0">
      <alignment horizontal="left"/>
    </xf>
    <xf numFmtId="177" fontId="49" fillId="0" borderId="0" applyNumberFormat="0" applyFill="0" applyBorder="0" applyProtection="0">
      <alignment horizontal="left"/>
    </xf>
    <xf numFmtId="177" fontId="48" fillId="10" borderId="18" applyBorder="0">
      <alignment horizontal="left" vertical="justify" wrapText="1" indent="1"/>
      <protection locked="0"/>
    </xf>
    <xf numFmtId="177" fontId="51" fillId="0" borderId="0" applyNumberFormat="0" applyFill="0" applyBorder="0" applyProtection="0">
      <alignment horizontal="centerContinuous"/>
    </xf>
    <xf numFmtId="189" fontId="52" fillId="0" borderId="0" applyFill="0" applyProtection="0">
      <alignment horizontal="center"/>
    </xf>
    <xf numFmtId="177" fontId="52" fillId="0" borderId="0" applyNumberFormat="0" applyFill="0" applyBorder="0" applyProtection="0">
      <alignment horizontal="center"/>
    </xf>
    <xf numFmtId="177" fontId="51" fillId="0" borderId="0" applyNumberFormat="0" applyFill="0" applyBorder="0" applyProtection="0">
      <alignment horizontal="centerContinuous"/>
    </xf>
    <xf numFmtId="177" fontId="51" fillId="0" borderId="0" applyNumberFormat="0" applyFill="0" applyBorder="0" applyProtection="0">
      <alignment horizontal="centerContinuous"/>
    </xf>
    <xf numFmtId="177" fontId="19" fillId="0" borderId="0">
      <protection locked="0"/>
    </xf>
    <xf numFmtId="177" fontId="20" fillId="0" borderId="0">
      <protection locked="0"/>
    </xf>
    <xf numFmtId="177" fontId="14" fillId="0" borderId="0">
      <alignment vertical="top"/>
    </xf>
    <xf numFmtId="177" fontId="14" fillId="0" borderId="0">
      <alignment vertical="top"/>
    </xf>
    <xf numFmtId="177" fontId="14" fillId="0" borderId="0">
      <alignment vertical="top"/>
    </xf>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53" fillId="0" borderId="0" applyNumberFormat="0" applyFill="0">
      <alignment vertical="center"/>
    </xf>
    <xf numFmtId="177" fontId="53" fillId="0" borderId="0" applyNumberFormat="0" applyFill="0">
      <alignment vertical="center"/>
    </xf>
    <xf numFmtId="177" fontId="14" fillId="0" borderId="0" applyFont="0" applyFill="0" applyBorder="0" applyAlignment="0" applyProtection="0"/>
    <xf numFmtId="177" fontId="39" fillId="0" borderId="0"/>
    <xf numFmtId="177" fontId="21" fillId="0" borderId="0"/>
    <xf numFmtId="177" fontId="38" fillId="0" borderId="0"/>
    <xf numFmtId="169" fontId="24" fillId="0" borderId="0" applyFont="0" applyFill="0" applyBorder="0" applyAlignment="0" applyProtection="0"/>
    <xf numFmtId="168" fontId="24" fillId="0" borderId="0" applyFont="0" applyFill="0" applyBorder="0" applyAlignment="0" applyProtection="0"/>
    <xf numFmtId="177" fontId="54" fillId="0" borderId="0">
      <protection locked="0"/>
    </xf>
    <xf numFmtId="177" fontId="54" fillId="0" borderId="0">
      <protection locked="0"/>
    </xf>
    <xf numFmtId="177" fontId="54" fillId="0" borderId="0">
      <protection locked="0"/>
    </xf>
    <xf numFmtId="177" fontId="24" fillId="0" borderId="0" applyFont="0" applyFill="0" applyBorder="0" applyAlignment="0" applyProtection="0"/>
    <xf numFmtId="177" fontId="24" fillId="0" borderId="0" applyFont="0" applyFill="0" applyBorder="0" applyAlignment="0" applyProtection="0"/>
    <xf numFmtId="177" fontId="2" fillId="0" borderId="0" applyNumberFormat="0" applyFill="0" applyBorder="0" applyAlignment="0" applyProtection="0"/>
    <xf numFmtId="177" fontId="21" fillId="0" borderId="0"/>
    <xf numFmtId="0" fontId="13" fillId="0" borderId="0">
      <alignment vertical="center"/>
    </xf>
    <xf numFmtId="177" fontId="21" fillId="0" borderId="0"/>
    <xf numFmtId="177" fontId="55" fillId="0" borderId="0">
      <protection locked="0"/>
    </xf>
    <xf numFmtId="177" fontId="55" fillId="0" borderId="0">
      <protection locked="0"/>
    </xf>
    <xf numFmtId="177" fontId="24" fillId="0" borderId="0"/>
    <xf numFmtId="177" fontId="24" fillId="0" borderId="0"/>
    <xf numFmtId="177" fontId="54" fillId="0" borderId="10">
      <protection locked="0"/>
    </xf>
    <xf numFmtId="3" fontId="24" fillId="0" borderId="0" applyFont="0" applyFill="0" applyBorder="0" applyAlignment="0" applyProtection="0"/>
    <xf numFmtId="9" fontId="14" fillId="0" borderId="0"/>
    <xf numFmtId="9" fontId="14" fillId="0" borderId="0"/>
    <xf numFmtId="194" fontId="56" fillId="0" borderId="0"/>
    <xf numFmtId="0" fontId="56" fillId="0" borderId="0"/>
    <xf numFmtId="2" fontId="57" fillId="0" borderId="0"/>
    <xf numFmtId="177" fontId="58" fillId="0" borderId="0"/>
    <xf numFmtId="176" fontId="58" fillId="0" borderId="0"/>
    <xf numFmtId="177" fontId="58" fillId="0" borderId="0"/>
    <xf numFmtId="2" fontId="58" fillId="0" borderId="0"/>
    <xf numFmtId="10" fontId="58" fillId="0" borderId="0"/>
    <xf numFmtId="177" fontId="58" fillId="0" borderId="0"/>
    <xf numFmtId="1" fontId="56" fillId="0" borderId="0"/>
    <xf numFmtId="1" fontId="59" fillId="0" borderId="0"/>
    <xf numFmtId="177" fontId="58" fillId="0" borderId="0"/>
    <xf numFmtId="177" fontId="58" fillId="0" borderId="0"/>
    <xf numFmtId="177" fontId="58" fillId="0" borderId="0"/>
    <xf numFmtId="195" fontId="60" fillId="0" borderId="0">
      <alignment horizontal="left"/>
    </xf>
    <xf numFmtId="196" fontId="61" fillId="0" borderId="0">
      <alignment horizontal="left"/>
    </xf>
    <xf numFmtId="197" fontId="47" fillId="0" borderId="0">
      <alignment horizontal="right" vertical="top"/>
    </xf>
    <xf numFmtId="177" fontId="2" fillId="0" borderId="0"/>
    <xf numFmtId="177" fontId="62" fillId="0" borderId="1">
      <alignment vertical="center"/>
    </xf>
    <xf numFmtId="177" fontId="62" fillId="0" borderId="1">
      <alignment vertical="center"/>
    </xf>
    <xf numFmtId="177" fontId="2" fillId="0" borderId="0"/>
    <xf numFmtId="177" fontId="2" fillId="0" borderId="0"/>
    <xf numFmtId="39" fontId="63"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 fillId="0" borderId="0"/>
    <xf numFmtId="177" fontId="24" fillId="0" borderId="0" applyNumberFormat="0" applyFill="0" applyBorder="0" applyAlignment="0" applyProtection="0">
      <alignment horizontal="left"/>
    </xf>
    <xf numFmtId="194" fontId="64" fillId="0" borderId="0" applyFont="0" applyFill="0" applyBorder="0" applyAlignment="0" applyProtection="0"/>
    <xf numFmtId="38" fontId="65" fillId="0" borderId="0" applyFont="0" applyFill="0" applyBorder="0" applyAlignment="0" applyProtection="0"/>
    <xf numFmtId="177" fontId="2" fillId="0" borderId="0" applyNumberFormat="0" applyFill="0" applyBorder="0" applyAlignment="0" applyProtection="0"/>
    <xf numFmtId="177" fontId="66" fillId="0" borderId="0" applyNumberFormat="0" applyFill="0" applyBorder="0" applyAlignment="0" applyProtection="0"/>
    <xf numFmtId="177" fontId="67" fillId="0" borderId="0" applyNumberFormat="0" applyFill="0" applyBorder="0" applyAlignment="0" applyProtection="0">
      <alignment horizontal="centerContinuous"/>
    </xf>
    <xf numFmtId="39" fontId="30" fillId="0" borderId="0"/>
    <xf numFmtId="177" fontId="68" fillId="0" borderId="0"/>
    <xf numFmtId="37" fontId="24" fillId="0" borderId="0">
      <alignment vertical="center"/>
    </xf>
    <xf numFmtId="177" fontId="69" fillId="11" borderId="0" applyNumberFormat="0" applyBorder="0" applyAlignment="0" applyProtection="0"/>
    <xf numFmtId="177" fontId="69" fillId="12" borderId="0" applyNumberFormat="0" applyBorder="0" applyAlignment="0" applyProtection="0"/>
    <xf numFmtId="177" fontId="69" fillId="13" borderId="0" applyNumberFormat="0" applyBorder="0" applyAlignment="0" applyProtection="0"/>
    <xf numFmtId="177" fontId="69" fillId="14" borderId="0" applyNumberFormat="0" applyBorder="0" applyAlignment="0" applyProtection="0"/>
    <xf numFmtId="177" fontId="69" fillId="15" borderId="0" applyNumberFormat="0" applyBorder="0" applyAlignment="0" applyProtection="0"/>
    <xf numFmtId="177" fontId="69" fillId="16" borderId="0" applyNumberFormat="0" applyBorder="0" applyAlignment="0" applyProtection="0"/>
    <xf numFmtId="177" fontId="24" fillId="0" borderId="0" applyNumberFormat="0" applyFill="0" applyBorder="0" applyAlignment="0" applyProtection="0"/>
    <xf numFmtId="37" fontId="24" fillId="17" borderId="0">
      <alignment vertical="center"/>
    </xf>
    <xf numFmtId="37" fontId="24" fillId="17" borderId="0">
      <alignment vertical="center"/>
    </xf>
    <xf numFmtId="37" fontId="24" fillId="17" borderId="0">
      <alignment vertical="center"/>
    </xf>
    <xf numFmtId="37" fontId="24" fillId="17" borderId="0">
      <alignment vertical="center"/>
    </xf>
    <xf numFmtId="37" fontId="24" fillId="17" borderId="0">
      <alignment vertical="center"/>
    </xf>
    <xf numFmtId="177" fontId="69" fillId="18" borderId="0" applyNumberFormat="0" applyBorder="0" applyAlignment="0" applyProtection="0"/>
    <xf numFmtId="177" fontId="69" fillId="19" borderId="0" applyNumberFormat="0" applyBorder="0" applyAlignment="0" applyProtection="0"/>
    <xf numFmtId="177" fontId="69" fillId="20" borderId="0" applyNumberFormat="0" applyBorder="0" applyAlignment="0" applyProtection="0"/>
    <xf numFmtId="177" fontId="69" fillId="14" borderId="0" applyNumberFormat="0" applyBorder="0" applyAlignment="0" applyProtection="0"/>
    <xf numFmtId="177" fontId="69" fillId="18" borderId="0" applyNumberFormat="0" applyBorder="0" applyAlignment="0" applyProtection="0"/>
    <xf numFmtId="177" fontId="69" fillId="21" borderId="0" applyNumberFormat="0" applyBorder="0" applyAlignment="0" applyProtection="0"/>
    <xf numFmtId="177" fontId="70" fillId="22" borderId="0" applyNumberFormat="0" applyBorder="0" applyAlignment="0" applyProtection="0"/>
    <xf numFmtId="177" fontId="70" fillId="19" borderId="0" applyNumberFormat="0" applyBorder="0" applyAlignment="0" applyProtection="0"/>
    <xf numFmtId="177" fontId="70" fillId="20" borderId="0" applyNumberFormat="0" applyBorder="0" applyAlignment="0" applyProtection="0"/>
    <xf numFmtId="177" fontId="70" fillId="23" borderId="0" applyNumberFormat="0" applyBorder="0" applyAlignment="0" applyProtection="0"/>
    <xf numFmtId="177" fontId="70" fillId="24" borderId="0" applyNumberFormat="0" applyBorder="0" applyAlignment="0" applyProtection="0"/>
    <xf numFmtId="177" fontId="70" fillId="25" borderId="0" applyNumberFormat="0" applyBorder="0" applyAlignment="0" applyProtection="0"/>
    <xf numFmtId="177" fontId="38" fillId="0" borderId="0">
      <protection locked="0"/>
    </xf>
    <xf numFmtId="37" fontId="71" fillId="0" borderId="0">
      <alignment horizontal="center"/>
    </xf>
    <xf numFmtId="177" fontId="72" fillId="0" borderId="0" applyNumberFormat="0" applyFill="0" applyBorder="0" applyAlignment="0" applyProtection="0">
      <alignment horizontal="left"/>
    </xf>
    <xf numFmtId="177" fontId="2" fillId="0" borderId="0" applyFont="0" applyFill="0" applyBorder="0" applyAlignment="0" applyProtection="0"/>
    <xf numFmtId="177" fontId="73" fillId="0" borderId="0"/>
    <xf numFmtId="177" fontId="73" fillId="0" borderId="0"/>
    <xf numFmtId="177" fontId="73" fillId="0" borderId="0"/>
    <xf numFmtId="177" fontId="73" fillId="0" borderId="0"/>
    <xf numFmtId="177" fontId="73" fillId="0" borderId="0"/>
    <xf numFmtId="177" fontId="2" fillId="0" borderId="7" applyFont="0" applyFill="0" applyBorder="0" applyAlignment="0" applyProtection="0"/>
    <xf numFmtId="172" fontId="14" fillId="0" borderId="0" applyFont="0" applyFill="0" applyBorder="0" applyProtection="0">
      <alignment horizontal="right" vertical="center"/>
    </xf>
    <xf numFmtId="177" fontId="74" fillId="0" borderId="7" applyBorder="0"/>
    <xf numFmtId="177" fontId="75" fillId="26" borderId="0" applyNumberFormat="0" applyBorder="0" applyAlignment="0" applyProtection="0"/>
    <xf numFmtId="0" fontId="75" fillId="26" borderId="0" applyNumberFormat="0" applyBorder="0" applyAlignment="0" applyProtection="0"/>
    <xf numFmtId="177" fontId="75" fillId="27" borderId="0" applyNumberFormat="0" applyBorder="0" applyAlignment="0" applyProtection="0"/>
    <xf numFmtId="0" fontId="75" fillId="27"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5" fillId="30" borderId="0" applyNumberFormat="0" applyBorder="0" applyAlignment="0" applyProtection="0"/>
    <xf numFmtId="0" fontId="75" fillId="30" borderId="0" applyNumberFormat="0" applyBorder="0" applyAlignment="0" applyProtection="0"/>
    <xf numFmtId="177" fontId="75" fillId="31" borderId="0" applyNumberFormat="0" applyBorder="0" applyAlignment="0" applyProtection="0"/>
    <xf numFmtId="0" fontId="75" fillId="31" borderId="0" applyNumberFormat="0" applyBorder="0" applyAlignment="0" applyProtection="0"/>
    <xf numFmtId="177" fontId="76" fillId="32" borderId="0" applyNumberFormat="0" applyBorder="0" applyAlignment="0" applyProtection="0"/>
    <xf numFmtId="0" fontId="76" fillId="32"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5" fillId="34" borderId="0" applyNumberFormat="0" applyBorder="0" applyAlignment="0" applyProtection="0"/>
    <xf numFmtId="0" fontId="75" fillId="34" borderId="0" applyNumberFormat="0" applyBorder="0" applyAlignment="0" applyProtection="0"/>
    <xf numFmtId="177" fontId="75" fillId="35" borderId="0" applyNumberFormat="0" applyBorder="0" applyAlignment="0" applyProtection="0"/>
    <xf numFmtId="0" fontId="75" fillId="35" borderId="0" applyNumberFormat="0" applyBorder="0" applyAlignment="0" applyProtection="0"/>
    <xf numFmtId="177" fontId="76" fillId="36" borderId="0" applyNumberFormat="0" applyBorder="0" applyAlignment="0" applyProtection="0"/>
    <xf numFmtId="0" fontId="76" fillId="36"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5" fillId="30" borderId="0" applyNumberFormat="0" applyBorder="0" applyAlignment="0" applyProtection="0"/>
    <xf numFmtId="0" fontId="75" fillId="30" borderId="0" applyNumberFormat="0" applyBorder="0" applyAlignment="0" applyProtection="0"/>
    <xf numFmtId="177" fontId="75" fillId="38" borderId="0" applyNumberFormat="0" applyBorder="0" applyAlignment="0" applyProtection="0"/>
    <xf numFmtId="0" fontId="75" fillId="38" borderId="0" applyNumberFormat="0" applyBorder="0" applyAlignment="0" applyProtection="0"/>
    <xf numFmtId="177" fontId="76" fillId="31" borderId="0" applyNumberFormat="0" applyBorder="0" applyAlignment="0" applyProtection="0"/>
    <xf numFmtId="0" fontId="76" fillId="31"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5" fillId="40" borderId="0" applyNumberFormat="0" applyBorder="0" applyAlignment="0" applyProtection="0"/>
    <xf numFmtId="0" fontId="75" fillId="40" borderId="0" applyNumberFormat="0" applyBorder="0" applyAlignment="0" applyProtection="0"/>
    <xf numFmtId="177" fontId="75" fillId="41" borderId="0" applyNumberFormat="0" applyBorder="0" applyAlignment="0" applyProtection="0"/>
    <xf numFmtId="0" fontId="75" fillId="41"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5" fillId="42" borderId="0" applyNumberFormat="0" applyBorder="0" applyAlignment="0" applyProtection="0"/>
    <xf numFmtId="0" fontId="75" fillId="42" borderId="0" applyNumberFormat="0" applyBorder="0" applyAlignment="0" applyProtection="0"/>
    <xf numFmtId="177" fontId="75" fillId="43" borderId="0" applyNumberFormat="0" applyBorder="0" applyAlignment="0" applyProtection="0"/>
    <xf numFmtId="0" fontId="75" fillId="43" borderId="0" applyNumberFormat="0" applyBorder="0" applyAlignment="0" applyProtection="0"/>
    <xf numFmtId="177" fontId="76" fillId="44" borderId="0" applyNumberFormat="0" applyBorder="0" applyAlignment="0" applyProtection="0"/>
    <xf numFmtId="0" fontId="76" fillId="44"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4" fontId="77" fillId="0" borderId="0" applyNumberFormat="0" applyFill="0" applyBorder="0" applyAlignment="0" applyProtection="0"/>
    <xf numFmtId="168" fontId="78" fillId="0" borderId="0" applyFont="0"/>
    <xf numFmtId="168" fontId="78" fillId="0" borderId="10" applyFont="0"/>
    <xf numFmtId="172" fontId="78" fillId="0" borderId="0" applyFont="0"/>
    <xf numFmtId="185" fontId="24" fillId="0" borderId="0"/>
    <xf numFmtId="177" fontId="24" fillId="0" borderId="0"/>
    <xf numFmtId="177" fontId="79" fillId="0" borderId="0" applyNumberFormat="0" applyFont="0" applyFill="0" applyBorder="0" applyProtection="0">
      <alignment horizontal="centerContinuous"/>
    </xf>
    <xf numFmtId="177" fontId="14" fillId="46" borderId="20">
      <alignment horizontal="center" vertical="center"/>
    </xf>
    <xf numFmtId="3" fontId="80" fillId="47" borderId="0" applyBorder="0">
      <protection locked="0"/>
    </xf>
    <xf numFmtId="177" fontId="81" fillId="0" borderId="21"/>
    <xf numFmtId="177" fontId="14" fillId="0" borderId="0" applyFill="0" applyBorder="0" applyProtection="0">
      <protection locked="0"/>
    </xf>
    <xf numFmtId="177" fontId="24" fillId="0" borderId="22" applyBorder="0"/>
    <xf numFmtId="194" fontId="65" fillId="0" borderId="0" applyFont="0" applyFill="0" applyBorder="0" applyAlignment="0" applyProtection="0"/>
    <xf numFmtId="177" fontId="82" fillId="0" borderId="0">
      <alignment horizontal="left"/>
    </xf>
    <xf numFmtId="177" fontId="21" fillId="0" borderId="0"/>
    <xf numFmtId="177" fontId="25" fillId="0" borderId="0">
      <alignment horizontal="center" wrapText="1"/>
      <protection locked="0"/>
    </xf>
    <xf numFmtId="177" fontId="14" fillId="0" borderId="0" applyNumberFormat="0" applyFill="0" applyBorder="0" applyAlignment="0" applyProtection="0"/>
    <xf numFmtId="177" fontId="43" fillId="0" borderId="0" applyNumberFormat="0" applyFill="0" applyBorder="0" applyAlignment="0" applyProtection="0"/>
    <xf numFmtId="177" fontId="83" fillId="0" borderId="14">
      <protection hidden="1"/>
    </xf>
    <xf numFmtId="177" fontId="84" fillId="48" borderId="14" applyNumberFormat="0" applyFont="0" applyBorder="0" applyAlignment="0" applyProtection="0">
      <protection hidden="1"/>
    </xf>
    <xf numFmtId="38" fontId="85" fillId="0" borderId="0">
      <alignment horizontal="center"/>
    </xf>
    <xf numFmtId="177" fontId="30" fillId="49" borderId="23" applyNumberFormat="0" applyAlignment="0" applyProtection="0"/>
    <xf numFmtId="177" fontId="30" fillId="49" borderId="23" applyNumberFormat="0" applyAlignment="0" applyProtection="0"/>
    <xf numFmtId="198" fontId="21" fillId="0" borderId="0" applyFont="0" applyFill="0" applyBorder="0" applyAlignment="0" applyProtection="0"/>
    <xf numFmtId="1" fontId="21" fillId="10" borderId="0"/>
    <xf numFmtId="199" fontId="86" fillId="0" borderId="0"/>
    <xf numFmtId="176" fontId="2" fillId="0" borderId="0"/>
    <xf numFmtId="200" fontId="87" fillId="0" borderId="0" applyNumberFormat="0" applyFill="0" applyBorder="0" applyAlignment="0" applyProtection="0"/>
    <xf numFmtId="200" fontId="88" fillId="0" borderId="0" applyNumberFormat="0" applyFill="0" applyBorder="0" applyAlignment="0" applyProtection="0"/>
    <xf numFmtId="200" fontId="88" fillId="0" borderId="0" applyNumberFormat="0" applyFill="0" applyBorder="0" applyAlignment="0" applyProtection="0"/>
    <xf numFmtId="200" fontId="88" fillId="0" borderId="0" applyNumberFormat="0" applyFill="0" applyBorder="0" applyAlignment="0" applyProtection="0"/>
    <xf numFmtId="199" fontId="86" fillId="0" borderId="0"/>
    <xf numFmtId="199" fontId="86" fillId="0" borderId="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90" fillId="0" borderId="0"/>
    <xf numFmtId="39" fontId="91" fillId="17" borderId="0">
      <alignment horizontal="left"/>
    </xf>
    <xf numFmtId="177" fontId="30" fillId="0" borderId="0" applyFill="0" applyBorder="0" applyAlignment="0" applyProtection="0"/>
    <xf numFmtId="177" fontId="30" fillId="0" borderId="24" applyNumberFormat="0" applyFill="0" applyAlignment="0" applyProtection="0"/>
    <xf numFmtId="177" fontId="3" fillId="0" borderId="0" applyNumberFormat="0" applyBorder="0" applyAlignment="0"/>
    <xf numFmtId="177" fontId="24" fillId="0" borderId="0" applyNumberFormat="0" applyFill="0" applyBorder="0" applyAlignment="0" applyProtection="0"/>
    <xf numFmtId="177" fontId="92" fillId="0" borderId="0" applyNumberFormat="0" applyFill="0" applyBorder="0" applyAlignment="0" applyProtection="0"/>
    <xf numFmtId="177" fontId="93" fillId="5" borderId="0" applyNumberFormat="0" applyFill="0" applyBorder="0" applyAlignment="0" applyProtection="0">
      <protection locked="0"/>
    </xf>
    <xf numFmtId="201" fontId="21" fillId="0" borderId="0" applyNumberFormat="0" applyFont="0" applyAlignment="0" applyProtection="0"/>
    <xf numFmtId="177" fontId="81" fillId="0" borderId="0" applyNumberFormat="0" applyFill="0" applyBorder="0" applyAlignment="0" applyProtection="0"/>
    <xf numFmtId="202" fontId="87" fillId="0" borderId="0" applyNumberFormat="0" applyFill="0" applyBorder="0" applyAlignment="0" applyProtection="0"/>
    <xf numFmtId="166" fontId="81" fillId="0" borderId="0">
      <alignment horizontal="right"/>
      <protection locked="0"/>
    </xf>
    <xf numFmtId="177" fontId="24" fillId="0" borderId="0"/>
    <xf numFmtId="177" fontId="25" fillId="0" borderId="0">
      <alignment horizontal="right"/>
    </xf>
    <xf numFmtId="177" fontId="3" fillId="0" borderId="0" applyBorder="0" applyProtection="0"/>
    <xf numFmtId="177" fontId="94" fillId="0" borderId="0"/>
    <xf numFmtId="0" fontId="19" fillId="8" borderId="23" applyNumberFormat="0" applyFont="0" applyAlignment="0">
      <protection locked="0"/>
    </xf>
    <xf numFmtId="177" fontId="24" fillId="0" borderId="0"/>
    <xf numFmtId="177" fontId="95" fillId="0" borderId="8" applyNumberFormat="0" applyFill="0" applyAlignment="0" applyProtection="0"/>
    <xf numFmtId="177" fontId="96" fillId="5" borderId="21"/>
    <xf numFmtId="37" fontId="96" fillId="5" borderId="0">
      <alignment horizontal="right"/>
    </xf>
    <xf numFmtId="177" fontId="96" fillId="5" borderId="21"/>
    <xf numFmtId="177" fontId="97" fillId="0" borderId="7" applyNumberFormat="0" applyFill="0" applyAlignment="0" applyProtection="0"/>
    <xf numFmtId="177" fontId="98" fillId="5" borderId="21" applyNumberFormat="0" applyFill="0" applyBorder="0" applyAlignment="0" applyProtection="0">
      <protection locked="0"/>
    </xf>
    <xf numFmtId="39" fontId="62" fillId="0" borderId="0">
      <alignment horizontal="right" vertical="center"/>
    </xf>
    <xf numFmtId="177" fontId="14" fillId="0" borderId="5" applyAlignment="0" applyProtection="0"/>
    <xf numFmtId="177" fontId="14" fillId="0" borderId="5" applyAlignment="0" applyProtection="0"/>
    <xf numFmtId="177" fontId="14" fillId="0" borderId="5" applyAlignment="0" applyProtection="0"/>
    <xf numFmtId="177" fontId="14" fillId="0" borderId="5" applyAlignment="0" applyProtection="0"/>
    <xf numFmtId="177" fontId="14" fillId="0" borderId="5" applyAlignment="0" applyProtection="0"/>
    <xf numFmtId="177" fontId="14" fillId="0" borderId="5" applyAlignment="0" applyProtection="0"/>
    <xf numFmtId="177" fontId="14" fillId="0" borderId="5" applyAlignment="0" applyProtection="0"/>
    <xf numFmtId="177" fontId="14" fillId="0" borderId="5" applyAlignment="0" applyProtection="0"/>
    <xf numFmtId="177" fontId="14" fillId="0" borderId="5" applyAlignment="0" applyProtection="0"/>
    <xf numFmtId="177" fontId="14" fillId="0" borderId="5" applyAlignment="0" applyProtection="0"/>
    <xf numFmtId="177" fontId="14" fillId="0" borderId="5" applyAlignment="0" applyProtection="0"/>
    <xf numFmtId="177" fontId="14" fillId="0" borderId="5" applyAlignment="0" applyProtection="0"/>
    <xf numFmtId="177" fontId="25" fillId="0" borderId="8" applyNumberFormat="0" applyFont="0" applyFill="0" applyAlignment="0" applyProtection="0"/>
    <xf numFmtId="177" fontId="25" fillId="0" borderId="25" applyNumberFormat="0" applyFont="0" applyFill="0" applyAlignment="0" applyProtection="0"/>
    <xf numFmtId="177" fontId="14" fillId="0" borderId="5" applyAlignment="0" applyProtection="0"/>
    <xf numFmtId="177" fontId="30" fillId="0" borderId="3" applyNumberFormat="0" applyFill="0" applyAlignment="0" applyProtection="0"/>
    <xf numFmtId="177" fontId="79" fillId="0" borderId="7" applyNumberFormat="0" applyFont="0" applyFill="0" applyAlignment="0" applyProtection="0"/>
    <xf numFmtId="177" fontId="99" fillId="0" borderId="8" applyNumberFormat="0" applyFill="0" applyAlignment="0" applyProtection="0">
      <alignment horizontal="center"/>
    </xf>
    <xf numFmtId="177" fontId="99" fillId="0" borderId="7" applyFill="0" applyAlignment="0" applyProtection="0">
      <alignment horizontal="center"/>
    </xf>
    <xf numFmtId="49" fontId="100" fillId="0" borderId="0" applyFont="0" applyFill="0" applyBorder="0" applyAlignment="0" applyProtection="0">
      <alignment horizontal="left"/>
    </xf>
    <xf numFmtId="177" fontId="19" fillId="0" borderId="0" applyAlignment="0" applyProtection="0"/>
    <xf numFmtId="176" fontId="30" fillId="0" borderId="0" applyFill="0" applyBorder="0" applyAlignment="0" applyProtection="0"/>
    <xf numFmtId="49" fontId="30" fillId="0" borderId="0" applyNumberFormat="0" applyAlignment="0" applyProtection="0">
      <alignment horizontal="left"/>
    </xf>
    <xf numFmtId="49" fontId="101" fillId="0" borderId="26" applyNumberFormat="0" applyAlignment="0" applyProtection="0">
      <alignment horizontal="left" wrapText="1"/>
    </xf>
    <xf numFmtId="49" fontId="101" fillId="0" borderId="0" applyNumberFormat="0" applyAlignment="0" applyProtection="0">
      <alignment horizontal="left" wrapText="1"/>
    </xf>
    <xf numFmtId="49" fontId="102" fillId="0" borderId="0" applyAlignment="0" applyProtection="0">
      <alignment horizontal="left"/>
    </xf>
    <xf numFmtId="177" fontId="77" fillId="0" borderId="0" applyFont="0" applyFill="0" applyBorder="0" applyAlignment="0" applyProtection="0"/>
    <xf numFmtId="177" fontId="14" fillId="0" borderId="0"/>
    <xf numFmtId="177" fontId="30" fillId="0" borderId="0">
      <alignment horizontal="center"/>
    </xf>
    <xf numFmtId="177" fontId="24" fillId="0" borderId="0" applyFont="0" applyFill="0" applyBorder="0" applyAlignment="0" applyProtection="0"/>
    <xf numFmtId="203" fontId="62" fillId="0" borderId="0"/>
    <xf numFmtId="177" fontId="21" fillId="0" borderId="0"/>
    <xf numFmtId="177" fontId="103" fillId="0" borderId="0"/>
    <xf numFmtId="177" fontId="30" fillId="0" borderId="0" applyFont="0" applyFill="0" applyBorder="0" applyAlignment="0" applyProtection="0"/>
    <xf numFmtId="177" fontId="104" fillId="50" borderId="27">
      <protection locked="0"/>
    </xf>
    <xf numFmtId="177" fontId="30" fillId="0" borderId="0" applyFill="0" applyBorder="0" applyAlignment="0" applyProtection="0"/>
    <xf numFmtId="177" fontId="104" fillId="50" borderId="27">
      <protection locked="0"/>
    </xf>
    <xf numFmtId="177" fontId="105" fillId="0" borderId="0" applyNumberFormat="0" applyFont="0" applyFill="0" applyBorder="0" applyProtection="0">
      <alignment horizontal="centerContinuous"/>
    </xf>
    <xf numFmtId="177" fontId="26" fillId="0" borderId="0"/>
    <xf numFmtId="177" fontId="26" fillId="0" borderId="0"/>
    <xf numFmtId="177" fontId="26" fillId="0" borderId="0"/>
    <xf numFmtId="177" fontId="26" fillId="0" borderId="0"/>
    <xf numFmtId="164" fontId="14" fillId="0" borderId="0" applyFont="0" applyFill="0" applyBorder="0" applyProtection="0">
      <alignment horizontal="right" vertical="center"/>
    </xf>
    <xf numFmtId="37" fontId="30" fillId="0" borderId="0" applyFill="0" applyBorder="0" applyAlignment="0" applyProtection="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37" fontId="24" fillId="0" borderId="0" applyFont="0" applyFill="0" applyBorder="0" applyAlignment="0" applyProtection="0"/>
    <xf numFmtId="177" fontId="26" fillId="0" borderId="0"/>
    <xf numFmtId="37" fontId="30" fillId="0" borderId="0" applyFill="0" applyBorder="0" applyAlignment="0" applyProtection="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177" fontId="26" fillId="0" borderId="0"/>
    <xf numFmtId="39" fontId="106" fillId="0" borderId="0"/>
    <xf numFmtId="177" fontId="72" fillId="0" borderId="0"/>
    <xf numFmtId="177" fontId="30" fillId="0" borderId="0" applyFill="0"/>
    <xf numFmtId="177" fontId="30" fillId="0" borderId="0">
      <alignment horizontal="center"/>
    </xf>
    <xf numFmtId="177" fontId="30" fillId="0" borderId="0" applyFill="0">
      <alignment horizontal="center"/>
    </xf>
    <xf numFmtId="177" fontId="107" fillId="0" borderId="28" applyFill="0"/>
    <xf numFmtId="177" fontId="14" fillId="0" borderId="0" applyFont="0" applyAlignment="0"/>
    <xf numFmtId="177" fontId="14" fillId="0" borderId="0" applyFont="0" applyAlignment="0"/>
    <xf numFmtId="177" fontId="108" fillId="0" borderId="0" applyFill="0">
      <alignment vertical="top"/>
    </xf>
    <xf numFmtId="177" fontId="107" fillId="0" borderId="0" applyFill="0">
      <alignment horizontal="left" vertical="top"/>
    </xf>
    <xf numFmtId="177" fontId="109" fillId="0" borderId="5" applyFill="0"/>
    <xf numFmtId="177" fontId="109" fillId="0" borderId="5" applyFill="0"/>
    <xf numFmtId="177" fontId="109" fillId="0" borderId="5" applyFill="0"/>
    <xf numFmtId="177" fontId="109" fillId="0" borderId="5" applyFill="0"/>
    <xf numFmtId="177" fontId="109" fillId="0" borderId="5" applyFill="0"/>
    <xf numFmtId="177" fontId="109" fillId="0" borderId="5" applyFill="0"/>
    <xf numFmtId="177" fontId="109" fillId="0" borderId="5" applyFill="0"/>
    <xf numFmtId="177" fontId="109" fillId="0" borderId="5" applyFill="0"/>
    <xf numFmtId="177" fontId="109" fillId="0" borderId="5" applyFill="0"/>
    <xf numFmtId="177" fontId="109" fillId="0" borderId="5" applyFill="0"/>
    <xf numFmtId="177" fontId="109" fillId="0" borderId="5" applyFill="0"/>
    <xf numFmtId="177" fontId="109" fillId="0" borderId="5" applyFill="0"/>
    <xf numFmtId="177" fontId="14" fillId="0" borderId="0" applyNumberFormat="0" applyFont="0" applyAlignment="0"/>
    <xf numFmtId="177" fontId="14" fillId="0" borderId="0" applyNumberFormat="0" applyFont="0" applyAlignment="0"/>
    <xf numFmtId="177" fontId="108" fillId="0" borderId="0" applyFill="0">
      <alignment wrapText="1"/>
    </xf>
    <xf numFmtId="177" fontId="107" fillId="0" borderId="0" applyFill="0">
      <alignment horizontal="left" vertical="top" wrapText="1"/>
    </xf>
    <xf numFmtId="177" fontId="110" fillId="0" borderId="0" applyFill="0"/>
    <xf numFmtId="177" fontId="111" fillId="0" borderId="0" applyNumberFormat="0" applyFont="0" applyAlignment="0">
      <alignment horizontal="center"/>
    </xf>
    <xf numFmtId="177" fontId="112" fillId="0" borderId="0" applyFill="0">
      <alignment vertical="top" wrapText="1"/>
    </xf>
    <xf numFmtId="177" fontId="109" fillId="0" borderId="0" applyFill="0">
      <alignment horizontal="left" vertical="top" wrapText="1"/>
    </xf>
    <xf numFmtId="177" fontId="14" fillId="0" borderId="0" applyFill="0"/>
    <xf numFmtId="177" fontId="14" fillId="0" borderId="0" applyFill="0"/>
    <xf numFmtId="177" fontId="111" fillId="0" borderId="0" applyNumberFormat="0" applyFont="0" applyAlignment="0">
      <alignment horizontal="center"/>
    </xf>
    <xf numFmtId="177" fontId="113" fillId="0" borderId="0" applyFill="0">
      <alignment vertical="center" wrapText="1"/>
    </xf>
    <xf numFmtId="177" fontId="43" fillId="0" borderId="0">
      <alignment horizontal="left" vertical="center" wrapText="1"/>
    </xf>
    <xf numFmtId="177" fontId="19" fillId="0" borderId="0" applyFill="0"/>
    <xf numFmtId="177" fontId="111" fillId="0" borderId="0" applyNumberFormat="0" applyFont="0" applyAlignment="0">
      <alignment horizontal="center"/>
    </xf>
    <xf numFmtId="177" fontId="114" fillId="0" borderId="0" applyFill="0">
      <alignment horizontal="center" vertical="center" wrapText="1"/>
    </xf>
    <xf numFmtId="177" fontId="14" fillId="0" borderId="0" applyFill="0">
      <alignment horizontal="center" vertical="center" wrapText="1"/>
    </xf>
    <xf numFmtId="177" fontId="115" fillId="0" borderId="0" applyFill="0"/>
    <xf numFmtId="177" fontId="111" fillId="0" borderId="0" applyNumberFormat="0" applyFont="0" applyAlignment="0">
      <alignment horizontal="center"/>
    </xf>
    <xf numFmtId="177" fontId="116" fillId="0" borderId="0" applyFill="0">
      <alignment horizontal="center" vertical="center" wrapText="1"/>
    </xf>
    <xf numFmtId="177" fontId="117" fillId="0" borderId="0" applyFill="0">
      <alignment horizontal="center" vertical="center" wrapText="1"/>
    </xf>
    <xf numFmtId="177" fontId="118" fillId="0" borderId="0" applyFill="0"/>
    <xf numFmtId="177" fontId="111" fillId="0" borderId="0" applyNumberFormat="0" applyFont="0" applyAlignment="0">
      <alignment horizontal="center"/>
    </xf>
    <xf numFmtId="177" fontId="119" fillId="0" borderId="0">
      <alignment horizontal="center" wrapText="1"/>
    </xf>
    <xf numFmtId="177" fontId="115" fillId="0" borderId="0" applyFill="0">
      <alignment horizontal="center" wrapText="1"/>
    </xf>
    <xf numFmtId="177" fontId="30" fillId="0" borderId="0" applyFont="0" applyFill="0" applyBorder="0" applyAlignment="0" applyProtection="0"/>
    <xf numFmtId="177" fontId="30" fillId="0" borderId="0" applyFont="0" applyFill="0" applyBorder="0" applyAlignment="0" applyProtection="0"/>
    <xf numFmtId="177" fontId="30" fillId="0" borderId="0" applyBorder="0" applyProtection="0"/>
    <xf numFmtId="177" fontId="19" fillId="0" borderId="0"/>
    <xf numFmtId="177" fontId="30" fillId="0" borderId="0"/>
    <xf numFmtId="37" fontId="72" fillId="0" borderId="0"/>
    <xf numFmtId="204" fontId="30" fillId="0" borderId="0"/>
    <xf numFmtId="177" fontId="20" fillId="0" borderId="29"/>
    <xf numFmtId="177" fontId="30" fillId="0" borderId="0" applyFill="0" applyBorder="0" applyAlignment="0" applyProtection="0"/>
    <xf numFmtId="39" fontId="14" fillId="0" borderId="0" applyFont="0" applyFill="0" applyBorder="0" applyAlignment="0" applyProtection="0"/>
    <xf numFmtId="177" fontId="30" fillId="0" borderId="0" applyAlignment="0" applyProtection="0"/>
    <xf numFmtId="39" fontId="24" fillId="0" borderId="0"/>
    <xf numFmtId="177" fontId="72" fillId="0" borderId="0"/>
    <xf numFmtId="39" fontId="24" fillId="0" borderId="0"/>
    <xf numFmtId="177" fontId="30" fillId="0" borderId="0" applyFill="0" applyBorder="0" applyAlignment="0" applyProtection="0"/>
    <xf numFmtId="177" fontId="24" fillId="17" borderId="0"/>
    <xf numFmtId="37" fontId="24" fillId="17" borderId="0"/>
    <xf numFmtId="177" fontId="24" fillId="0" borderId="0">
      <alignment vertical="center"/>
    </xf>
    <xf numFmtId="177" fontId="120" fillId="0" borderId="0" applyNumberFormat="0" applyFont="0" applyFill="0" applyBorder="0" applyProtection="0">
      <alignment horizontal="centerContinuous"/>
    </xf>
    <xf numFmtId="177" fontId="121" fillId="0" borderId="0" applyNumberFormat="0" applyFill="0" applyBorder="0" applyAlignment="0" applyProtection="0"/>
    <xf numFmtId="177" fontId="122" fillId="0" borderId="0" applyNumberFormat="0" applyFill="0" applyBorder="0" applyAlignment="0" applyProtection="0"/>
    <xf numFmtId="177" fontId="84" fillId="0" borderId="0" applyFill="0" applyBorder="0" applyAlignment="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58" fillId="0" borderId="0"/>
    <xf numFmtId="177" fontId="84" fillId="0" borderId="0"/>
    <xf numFmtId="177" fontId="30" fillId="0" borderId="0" applyNumberFormat="0" applyFill="0" applyBorder="0" applyProtection="0">
      <alignment horizontal="center" vertical="center"/>
    </xf>
    <xf numFmtId="39" fontId="25" fillId="52" borderId="0" applyNumberFormat="0" applyFont="0" applyBorder="0" applyAlignment="0"/>
    <xf numFmtId="177" fontId="3" fillId="0" borderId="0" applyFill="0" applyBorder="0" applyProtection="0"/>
    <xf numFmtId="177" fontId="30" fillId="0" borderId="0" applyFill="0" applyBorder="0" applyAlignment="0" applyProtection="0"/>
    <xf numFmtId="177" fontId="124" fillId="0" borderId="0"/>
    <xf numFmtId="177" fontId="125" fillId="0" borderId="0"/>
    <xf numFmtId="177" fontId="126" fillId="0" borderId="0">
      <alignment vertical="center"/>
    </xf>
    <xf numFmtId="39" fontId="14" fillId="0" borderId="0"/>
    <xf numFmtId="39" fontId="24" fillId="0" borderId="0">
      <alignment horizontal="center" vertical="center"/>
    </xf>
    <xf numFmtId="177" fontId="79" fillId="0" borderId="0" applyNumberFormat="0" applyFont="0" applyFill="0" applyBorder="0" applyProtection="0">
      <alignment horizontal="center"/>
    </xf>
    <xf numFmtId="177" fontId="127" fillId="0" borderId="0">
      <alignment horizontal="centerContinuous"/>
    </xf>
    <xf numFmtId="177" fontId="30" fillId="0" borderId="0" applyNumberFormat="0" applyFill="0" applyBorder="0" applyProtection="0">
      <alignment horizontal="center" vertical="center"/>
    </xf>
    <xf numFmtId="177" fontId="128" fillId="0" borderId="0">
      <alignment horizontal="centerContinuous"/>
    </xf>
    <xf numFmtId="177" fontId="129" fillId="0" borderId="0" applyFill="0" applyBorder="0" applyProtection="0">
      <alignment horizontal="center"/>
      <protection locked="0"/>
    </xf>
    <xf numFmtId="177" fontId="20" fillId="0" borderId="0" applyFill="0" applyBorder="0" applyProtection="0">
      <alignment horizontal="center" vertical="center"/>
    </xf>
    <xf numFmtId="177" fontId="110" fillId="0" borderId="0" applyFill="0" applyBorder="0" applyProtection="0">
      <alignment horizontal="center"/>
      <protection locked="0"/>
    </xf>
    <xf numFmtId="177" fontId="14" fillId="0" borderId="0">
      <alignment horizontal="right"/>
    </xf>
    <xf numFmtId="177" fontId="24" fillId="0" borderId="0"/>
    <xf numFmtId="1" fontId="130" fillId="0" borderId="0"/>
    <xf numFmtId="177" fontId="2" fillId="53" borderId="31" applyBorder="0">
      <alignment horizontal="centerContinuous"/>
    </xf>
    <xf numFmtId="177" fontId="27" fillId="0" borderId="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40" fontId="58" fillId="0" borderId="0"/>
    <xf numFmtId="3" fontId="84" fillId="0" borderId="0"/>
    <xf numFmtId="177" fontId="30" fillId="54" borderId="0" applyNumberFormat="0" applyBorder="0" applyAlignment="0" applyProtection="0"/>
    <xf numFmtId="177" fontId="127" fillId="0" borderId="0" applyProtection="0"/>
    <xf numFmtId="39" fontId="24" fillId="0" borderId="0"/>
    <xf numFmtId="177" fontId="30" fillId="0" borderId="0" applyNumberFormat="0" applyFill="0" applyBorder="0" applyAlignment="0" applyProtection="0"/>
    <xf numFmtId="177" fontId="132" fillId="0" borderId="0" applyNumberFormat="0" applyFill="0" applyBorder="0" applyAlignment="0" applyProtection="0"/>
    <xf numFmtId="177" fontId="133" fillId="0" borderId="7" applyNumberFormat="0" applyFill="0" applyBorder="0" applyAlignment="0" applyProtection="0">
      <alignment horizontal="center"/>
    </xf>
    <xf numFmtId="177" fontId="134" fillId="0" borderId="0" applyNumberFormat="0" applyFill="0" applyBorder="0" applyProtection="0">
      <alignment horizontal="center" vertical="center"/>
    </xf>
    <xf numFmtId="177" fontId="127" fillId="0" borderId="0">
      <alignment horizontal="centerContinuous"/>
    </xf>
    <xf numFmtId="177" fontId="99" fillId="0" borderId="0" applyFill="0" applyBorder="0" applyProtection="0">
      <alignment horizontal="center"/>
    </xf>
    <xf numFmtId="177" fontId="18" fillId="0" borderId="33">
      <alignment horizontal="center"/>
    </xf>
    <xf numFmtId="177" fontId="18" fillId="0" borderId="0" applyNumberFormat="0" applyFill="0" applyBorder="0" applyProtection="0">
      <alignment wrapText="1"/>
    </xf>
    <xf numFmtId="177" fontId="109" fillId="0" borderId="0" applyNumberFormat="0" applyFill="0" applyBorder="0" applyProtection="0">
      <alignment wrapText="1"/>
    </xf>
    <xf numFmtId="177" fontId="109" fillId="0" borderId="0" applyNumberFormat="0" applyFill="0" applyBorder="0" applyProtection="0"/>
    <xf numFmtId="177" fontId="135" fillId="0" borderId="0" applyNumberFormat="0" applyFill="0" applyBorder="0" applyProtection="0">
      <alignment horizontal="center" wrapText="1"/>
    </xf>
    <xf numFmtId="177" fontId="18" fillId="0" borderId="7" applyNumberFormat="0" applyFill="0" applyProtection="0">
      <alignment horizontal="right" wrapText="1"/>
    </xf>
    <xf numFmtId="177" fontId="18" fillId="0" borderId="7" applyNumberFormat="0" applyFill="0" applyProtection="0">
      <alignment horizontal="left" wrapText="1"/>
    </xf>
    <xf numFmtId="177" fontId="136" fillId="55" borderId="0">
      <alignment horizontal="left"/>
    </xf>
    <xf numFmtId="177" fontId="137" fillId="55" borderId="0">
      <alignment horizontal="right"/>
    </xf>
    <xf numFmtId="177" fontId="98" fillId="56" borderId="0">
      <alignment horizontal="center"/>
    </xf>
    <xf numFmtId="177" fontId="127" fillId="0" borderId="7">
      <alignment horizontal="center"/>
    </xf>
    <xf numFmtId="177" fontId="138" fillId="57" borderId="0"/>
    <xf numFmtId="177" fontId="137" fillId="55" borderId="0">
      <alignment horizontal="right"/>
    </xf>
    <xf numFmtId="177" fontId="139" fillId="56" borderId="0">
      <alignment horizontal="left"/>
    </xf>
    <xf numFmtId="43" fontId="53" fillId="0" borderId="0" applyFont="0" applyFill="0" applyBorder="0" applyAlignment="0" applyProtection="0"/>
    <xf numFmtId="177" fontId="140" fillId="0" borderId="24"/>
    <xf numFmtId="177" fontId="38" fillId="0" borderId="0"/>
    <xf numFmtId="177" fontId="38" fillId="0" borderId="0"/>
    <xf numFmtId="177" fontId="38" fillId="0" borderId="0"/>
    <xf numFmtId="177" fontId="38" fillId="0" borderId="0"/>
    <xf numFmtId="177" fontId="38" fillId="0" borderId="0"/>
    <xf numFmtId="177" fontId="38" fillId="0" borderId="0"/>
    <xf numFmtId="177" fontId="38" fillId="0" borderId="0"/>
    <xf numFmtId="37" fontId="2" fillId="0" borderId="0"/>
    <xf numFmtId="177" fontId="24" fillId="0" borderId="0"/>
    <xf numFmtId="172" fontId="141" fillId="0" borderId="0" applyFont="0" applyBorder="0">
      <alignment horizontal="right"/>
    </xf>
    <xf numFmtId="172" fontId="21" fillId="0" borderId="0" applyFont="0" applyFill="0" applyBorder="0" applyAlignment="0" applyProtection="0"/>
    <xf numFmtId="38" fontId="58" fillId="0" borderId="0"/>
    <xf numFmtId="177" fontId="25" fillId="0" borderId="0"/>
    <xf numFmtId="205" fontId="21" fillId="0" borderId="0" applyFont="0" applyFill="0" applyBorder="0" applyAlignment="0" applyProtection="0"/>
    <xf numFmtId="177" fontId="3" fillId="0" borderId="0" applyFont="0" applyFill="0" applyBorder="0" applyAlignment="0" applyProtection="0">
      <alignment horizontal="right"/>
    </xf>
    <xf numFmtId="206" fontId="3" fillId="0" borderId="0" applyFont="0" applyFill="0" applyBorder="0" applyAlignment="0" applyProtection="0"/>
    <xf numFmtId="207" fontId="21" fillId="0" borderId="0" applyFont="0" applyFill="0" applyBorder="0" applyAlignment="0" applyProtection="0"/>
    <xf numFmtId="208" fontId="21" fillId="0" borderId="0" applyFont="0" applyFill="0" applyBorder="0" applyAlignment="0" applyProtection="0"/>
    <xf numFmtId="209" fontId="21" fillId="0" borderId="0" applyFont="0" applyFill="0" applyBorder="0" applyAlignment="0" applyProtection="0"/>
    <xf numFmtId="177" fontId="3" fillId="0" borderId="0" applyFont="0" applyFill="0" applyBorder="0" applyAlignment="0" applyProtection="0">
      <alignment horizontal="right"/>
    </xf>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14" fillId="0" borderId="0" applyFont="0" applyFill="0" applyBorder="0" applyAlignment="0" applyProtection="0"/>
    <xf numFmtId="174" fontId="1" fillId="0" borderId="0" applyFont="0" applyFill="0" applyBorder="0" applyAlignment="0" applyProtection="0"/>
    <xf numFmtId="174" fontId="142"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14" fillId="0" borderId="0" applyFont="0" applyFill="0" applyBorder="0" applyAlignment="0" applyProtection="0"/>
    <xf numFmtId="174" fontId="142"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174" fontId="14" fillId="0" borderId="0" applyFont="0" applyFill="0" applyBorder="0" applyAlignment="0" applyProtection="0"/>
    <xf numFmtId="43" fontId="14"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43"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3" fontId="144" fillId="0" borderId="0" applyFont="0" applyFill="0" applyBorder="0" applyAlignment="0" applyProtection="0"/>
    <xf numFmtId="177" fontId="145" fillId="0" borderId="0"/>
    <xf numFmtId="177" fontId="38" fillId="0" borderId="0"/>
    <xf numFmtId="177" fontId="38" fillId="0" borderId="0"/>
    <xf numFmtId="177" fontId="38" fillId="0" borderId="0"/>
    <xf numFmtId="177" fontId="146" fillId="0" borderId="0" applyNumberFormat="0" applyFont="0" applyFill="0" applyBorder="0" applyAlignment="0" applyProtection="0"/>
    <xf numFmtId="210" fontId="30" fillId="0" borderId="0"/>
    <xf numFmtId="177" fontId="145" fillId="0" borderId="0"/>
    <xf numFmtId="177" fontId="147" fillId="0" borderId="0"/>
    <xf numFmtId="177" fontId="38" fillId="0" borderId="0"/>
    <xf numFmtId="211" fontId="30" fillId="0" borderId="0"/>
    <xf numFmtId="190" fontId="30" fillId="0" borderId="0"/>
    <xf numFmtId="212" fontId="148" fillId="58" borderId="0">
      <alignment horizontal="left"/>
    </xf>
    <xf numFmtId="177" fontId="107" fillId="0" borderId="0" applyFill="0" applyBorder="0" applyAlignment="0" applyProtection="0">
      <protection locked="0"/>
    </xf>
    <xf numFmtId="177" fontId="127" fillId="0" borderId="0" applyFill="0" applyBorder="0">
      <alignment horizontal="left"/>
    </xf>
    <xf numFmtId="176" fontId="149" fillId="0" borderId="0" applyNumberFormat="0" applyFill="0" applyAlignment="0" applyProtection="0"/>
    <xf numFmtId="177" fontId="14" fillId="0" borderId="0" applyFont="0" applyFill="0" applyBorder="0" applyAlignment="0" applyProtection="0"/>
    <xf numFmtId="177" fontId="150" fillId="0" borderId="0" applyNumberFormat="0" applyAlignment="0">
      <alignment horizontal="left"/>
    </xf>
    <xf numFmtId="177" fontId="2" fillId="0" borderId="8" applyNumberFormat="0" applyFont="0" applyFill="0" applyBorder="0" applyProtection="0">
      <alignment horizontal="centerContinuous"/>
    </xf>
    <xf numFmtId="213" fontId="24" fillId="0" borderId="0" applyFill="0" applyBorder="0" applyProtection="0"/>
    <xf numFmtId="213" fontId="24" fillId="0" borderId="5" applyFill="0" applyProtection="0"/>
    <xf numFmtId="213" fontId="24" fillId="0" borderId="10" applyFill="0" applyProtection="0"/>
    <xf numFmtId="177" fontId="85" fillId="0" borderId="0">
      <alignment horizontal="center"/>
    </xf>
    <xf numFmtId="177" fontId="2" fillId="0" borderId="7" applyNumberFormat="0" applyFont="0" applyFill="0" applyProtection="0">
      <alignment horizontal="centerContinuous"/>
    </xf>
    <xf numFmtId="177" fontId="151" fillId="0" borderId="0" applyFill="0" applyBorder="0" applyAlignment="0" applyProtection="0"/>
    <xf numFmtId="177" fontId="94" fillId="0" borderId="0" applyFill="0" applyBorder="0" applyAlignment="0" applyProtection="0"/>
    <xf numFmtId="165" fontId="65" fillId="0" borderId="0" applyFont="0" applyFill="0" applyBorder="0" applyAlignment="0" applyProtection="0"/>
    <xf numFmtId="177" fontId="152" fillId="0" borderId="4"/>
    <xf numFmtId="177" fontId="152" fillId="0" borderId="4"/>
    <xf numFmtId="177" fontId="38" fillId="0" borderId="0"/>
    <xf numFmtId="177" fontId="30" fillId="0" borderId="0" applyFill="0" applyBorder="0" applyAlignment="0" applyProtection="0"/>
    <xf numFmtId="177" fontId="30" fillId="0" borderId="0" applyFill="0" applyBorder="0" applyAlignment="0" applyProtection="0"/>
    <xf numFmtId="177" fontId="25" fillId="0" borderId="0"/>
    <xf numFmtId="177" fontId="2" fillId="0" borderId="0"/>
    <xf numFmtId="164" fontId="153" fillId="0" borderId="0" applyFont="0" applyFill="0" applyBorder="0" applyAlignment="0" applyProtection="0">
      <alignment horizontal="center"/>
    </xf>
    <xf numFmtId="177" fontId="14" fillId="0" borderId="0">
      <alignment horizontal="right"/>
    </xf>
    <xf numFmtId="39" fontId="14" fillId="0" borderId="0" applyFont="0" applyFill="0" applyBorder="0" applyAlignment="0" applyProtection="0"/>
    <xf numFmtId="177" fontId="25" fillId="0" borderId="0"/>
    <xf numFmtId="167" fontId="154" fillId="0" borderId="34">
      <protection locked="0"/>
    </xf>
    <xf numFmtId="167" fontId="154" fillId="0" borderId="34">
      <protection locked="0"/>
    </xf>
    <xf numFmtId="214" fontId="3" fillId="0" borderId="0" applyFont="0" applyFill="0" applyBorder="0" applyAlignment="0" applyProtection="0">
      <alignment horizontal="right"/>
    </xf>
    <xf numFmtId="215" fontId="21" fillId="0" borderId="0" applyFont="0" applyFill="0" applyBorder="0" applyAlignment="0" applyProtection="0"/>
    <xf numFmtId="216" fontId="21" fillId="0" borderId="0" applyFont="0" applyFill="0" applyBorder="0" applyAlignment="0" applyProtection="0"/>
    <xf numFmtId="213" fontId="2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7"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7" fontId="30" fillId="0" borderId="0" applyFill="0" applyBorder="0" applyAlignment="0" applyProtection="0"/>
    <xf numFmtId="177" fontId="24" fillId="0" borderId="0" applyFont="0" applyFill="0" applyBorder="0" applyAlignment="0" applyProtection="0"/>
    <xf numFmtId="177" fontId="84" fillId="0" borderId="0" applyFont="0" applyFill="0" applyBorder="0" applyAlignment="0" applyProtection="0"/>
    <xf numFmtId="177" fontId="84" fillId="0" borderId="0" applyFont="0" applyFill="0" applyBorder="0" applyAlignment="0" applyProtection="0"/>
    <xf numFmtId="49" fontId="155" fillId="59" borderId="0">
      <alignment vertical="center"/>
    </xf>
    <xf numFmtId="49" fontId="48" fillId="59" borderId="0">
      <alignment vertical="center"/>
    </xf>
    <xf numFmtId="49" fontId="48" fillId="60" borderId="0">
      <alignment vertical="center"/>
    </xf>
    <xf numFmtId="177" fontId="14" fillId="0" borderId="0"/>
    <xf numFmtId="177" fontId="24" fillId="0" borderId="0"/>
    <xf numFmtId="164" fontId="2" fillId="0" borderId="0" applyFont="0" applyFill="0" applyBorder="0" applyAlignment="0" applyProtection="0"/>
    <xf numFmtId="169" fontId="2" fillId="0" borderId="0" applyNumberFormat="0"/>
    <xf numFmtId="39" fontId="62" fillId="0" borderId="1"/>
    <xf numFmtId="39" fontId="62" fillId="0" borderId="1"/>
    <xf numFmtId="166" fontId="2" fillId="0" borderId="0" applyFont="0" applyFill="0" applyBorder="0" applyAlignment="0" applyProtection="0"/>
    <xf numFmtId="177" fontId="32" fillId="0" borderId="0"/>
    <xf numFmtId="177" fontId="2" fillId="0" borderId="0"/>
    <xf numFmtId="177" fontId="30" fillId="0" borderId="0" applyFont="0" applyFill="0" applyBorder="0" applyAlignment="0" applyProtection="0"/>
    <xf numFmtId="177" fontId="156" fillId="0" borderId="0"/>
    <xf numFmtId="177" fontId="156" fillId="0" borderId="0"/>
    <xf numFmtId="177" fontId="30" fillId="0" borderId="0" applyFill="0" applyBorder="0" applyAlignment="0" applyProtection="0"/>
    <xf numFmtId="177" fontId="2" fillId="0" borderId="0" applyFont="0" applyFill="0" applyBorder="0" applyAlignment="0" applyProtection="0"/>
    <xf numFmtId="177" fontId="30" fillId="0" borderId="0" applyFill="0" applyBorder="0" applyAlignment="0" applyProtection="0"/>
    <xf numFmtId="177" fontId="30" fillId="0" borderId="0" applyFont="0" applyFill="0" applyBorder="0" applyAlignment="0" applyProtection="0"/>
    <xf numFmtId="177" fontId="19" fillId="0" borderId="0"/>
    <xf numFmtId="177" fontId="19" fillId="0" borderId="0"/>
    <xf numFmtId="39" fontId="2" fillId="0" borderId="0"/>
    <xf numFmtId="177" fontId="30" fillId="0" borderId="0" applyFill="0" applyBorder="0" applyAlignment="0" applyProtection="0"/>
    <xf numFmtId="37" fontId="24" fillId="0" borderId="0">
      <alignment vertical="center"/>
    </xf>
    <xf numFmtId="166" fontId="30"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3" fillId="0" borderId="0" applyFont="0" applyFill="0" applyBorder="0" applyAlignment="0" applyProtection="0"/>
    <xf numFmtId="177" fontId="32" fillId="0" borderId="0" applyFont="0" applyFill="0" applyBorder="0" applyAlignment="0" applyProtection="0"/>
    <xf numFmtId="177" fontId="157" fillId="61" borderId="0">
      <alignment horizontal="centerContinuous"/>
    </xf>
    <xf numFmtId="172" fontId="128" fillId="0" borderId="0">
      <alignment horizontal="right"/>
    </xf>
    <xf numFmtId="177" fontId="2" fillId="5" borderId="31" applyBorder="0"/>
    <xf numFmtId="38" fontId="158" fillId="0" borderId="0" applyNumberFormat="0" applyFill="0" applyBorder="0" applyAlignment="0">
      <protection locked="0"/>
    </xf>
    <xf numFmtId="177" fontId="40" fillId="0" borderId="0" applyNumberFormat="0">
      <alignment horizontal="right"/>
    </xf>
    <xf numFmtId="177" fontId="159" fillId="0" borderId="0">
      <protection locked="0"/>
    </xf>
    <xf numFmtId="177" fontId="38" fillId="0" borderId="0"/>
    <xf numFmtId="17" fontId="18" fillId="0" borderId="0" applyFill="0" applyBorder="0">
      <alignment horizontal="right"/>
    </xf>
    <xf numFmtId="177" fontId="3" fillId="0" borderId="0" applyFont="0" applyFill="0" applyBorder="0" applyAlignment="0" applyProtection="0"/>
    <xf numFmtId="16" fontId="27" fillId="0" borderId="0" applyFont="0" applyFill="0" applyBorder="0" applyAlignment="0" applyProtection="0"/>
    <xf numFmtId="15" fontId="27" fillId="0" borderId="0" applyFont="0" applyFill="0" applyBorder="0" applyAlignment="0" applyProtection="0"/>
    <xf numFmtId="17" fontId="27" fillId="0" borderId="0" applyFont="0" applyFill="0" applyBorder="0" applyAlignment="0" applyProtection="0"/>
    <xf numFmtId="177" fontId="24" fillId="0" borderId="0">
      <alignment horizontal="right"/>
    </xf>
    <xf numFmtId="177" fontId="14" fillId="0" borderId="0" applyFont="0" applyFill="0" applyBorder="0" applyProtection="0">
      <alignment horizontal="right"/>
    </xf>
    <xf numFmtId="14" fontId="160" fillId="0" borderId="0">
      <alignment horizontal="right"/>
      <protection locked="0"/>
    </xf>
    <xf numFmtId="177" fontId="23" fillId="0" borderId="0"/>
    <xf numFmtId="14" fontId="30" fillId="0" borderId="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30" fillId="0" borderId="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217" fontId="24" fillId="0" borderId="0" applyFont="0" applyFill="0" applyBorder="0" applyAlignment="0"/>
    <xf numFmtId="177" fontId="14" fillId="0" borderId="0">
      <alignment horizontal="left"/>
    </xf>
    <xf numFmtId="164" fontId="2" fillId="0" borderId="0" applyNumberFormat="0"/>
    <xf numFmtId="216" fontId="24" fillId="0" borderId="0" applyFill="0" applyBorder="0" applyProtection="0"/>
    <xf numFmtId="216" fontId="24" fillId="0" borderId="5" applyFill="0" applyProtection="0"/>
    <xf numFmtId="216" fontId="24" fillId="0" borderId="10" applyFill="0" applyProtection="0"/>
    <xf numFmtId="39" fontId="91" fillId="17" borderId="0">
      <alignment horizontal="left"/>
    </xf>
    <xf numFmtId="177" fontId="25" fillId="0" borderId="0">
      <alignment horizontal="right"/>
    </xf>
    <xf numFmtId="177" fontId="25" fillId="0" borderId="0">
      <alignment horizontal="right"/>
    </xf>
    <xf numFmtId="177" fontId="24" fillId="0" borderId="0">
      <alignment horizontal="right"/>
    </xf>
    <xf numFmtId="218" fontId="161" fillId="62" borderId="0">
      <alignment horizontal="right"/>
    </xf>
    <xf numFmtId="38" fontId="21" fillId="0" borderId="0" applyNumberFormat="0" applyBorder="0" applyAlignment="0"/>
    <xf numFmtId="15" fontId="117" fillId="63" borderId="0" applyNumberFormat="0" applyFont="0" applyBorder="0" applyAlignment="0" applyProtection="0"/>
    <xf numFmtId="177" fontId="162" fillId="0" borderId="0">
      <protection locked="0"/>
    </xf>
    <xf numFmtId="177" fontId="2" fillId="0" borderId="0" applyNumberFormat="0" applyFill="0" applyBorder="0" applyAlignment="0" applyProtection="0"/>
    <xf numFmtId="40" fontId="163" fillId="5" borderId="0"/>
    <xf numFmtId="177" fontId="2" fillId="0" borderId="0" applyFont="0" applyFill="0" applyBorder="0" applyAlignment="0" applyProtection="0"/>
    <xf numFmtId="177" fontId="3" fillId="0" borderId="0" applyBorder="0" applyProtection="0"/>
    <xf numFmtId="177" fontId="38" fillId="0" borderId="0"/>
    <xf numFmtId="177" fontId="30" fillId="0" borderId="0" applyFill="0" applyBorder="0" applyAlignment="0" applyProtection="0"/>
    <xf numFmtId="177" fontId="25" fillId="0" borderId="0"/>
    <xf numFmtId="177" fontId="164" fillId="0" borderId="0">
      <protection locked="0"/>
    </xf>
    <xf numFmtId="166" fontId="25" fillId="0" borderId="0"/>
    <xf numFmtId="177" fontId="14" fillId="0" borderId="0">
      <alignment horizontal="right"/>
    </xf>
    <xf numFmtId="177" fontId="14" fillId="0" borderId="0" applyFill="0" applyBorder="0" applyAlignment="0" applyProtection="0"/>
    <xf numFmtId="177" fontId="14" fillId="0" borderId="0" applyFill="0" applyBorder="0" applyAlignment="0" applyProtection="0"/>
    <xf numFmtId="177" fontId="25" fillId="0" borderId="35" applyNumberFormat="0" applyFill="0" applyAlignment="0" applyProtection="0"/>
    <xf numFmtId="177" fontId="3" fillId="0" borderId="36" applyNumberFormat="0" applyFont="0" applyFill="0" applyAlignment="0" applyProtection="0"/>
    <xf numFmtId="197" fontId="165" fillId="64" borderId="0">
      <alignment horizontal="right"/>
    </xf>
    <xf numFmtId="168" fontId="166" fillId="0" borderId="0" applyFill="0" applyBorder="0" applyAlignment="0" applyProtection="0"/>
    <xf numFmtId="177" fontId="99" fillId="0" borderId="37" applyNumberFormat="0" applyFill="0" applyAlignment="0" applyProtection="0"/>
    <xf numFmtId="38" fontId="128" fillId="0" borderId="37">
      <alignment horizontal="right"/>
    </xf>
    <xf numFmtId="167" fontId="32" fillId="0" borderId="0" applyNumberFormat="0"/>
    <xf numFmtId="177" fontId="167" fillId="0" borderId="0" applyNumberFormat="0" applyFill="0" applyBorder="0" applyAlignment="0" applyProtection="0"/>
    <xf numFmtId="177" fontId="2" fillId="0" borderId="37" applyNumberFormat="0" applyFont="0" applyFill="0" applyAlignment="0" applyProtection="0"/>
    <xf numFmtId="177" fontId="14" fillId="0" borderId="0" applyFont="0" applyFill="0" applyBorder="0" applyProtection="0">
      <alignment horizontal="right" vertical="center"/>
    </xf>
    <xf numFmtId="177" fontId="14" fillId="0" borderId="0" applyFill="0" applyBorder="0" applyAlignment="0" applyProtection="0"/>
    <xf numFmtId="177" fontId="14" fillId="0" borderId="0" applyFill="0" applyBorder="0" applyAlignment="0" applyProtection="0"/>
    <xf numFmtId="177" fontId="30" fillId="0" borderId="0" applyFill="0" applyBorder="0" applyAlignment="0" applyProtection="0"/>
    <xf numFmtId="177" fontId="30"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14" fillId="0" borderId="0" applyFill="0" applyAlignment="0" applyProtection="0"/>
    <xf numFmtId="177" fontId="14" fillId="0" borderId="0" applyFill="0" applyAlignment="0" applyProtection="0"/>
    <xf numFmtId="177" fontId="14" fillId="0" borderId="0" applyFill="0" applyBorder="0" applyAlignment="0" applyProtection="0"/>
    <xf numFmtId="177" fontId="14" fillId="0" borderId="0" applyFill="0" applyBorder="0" applyAlignment="0" applyProtection="0"/>
    <xf numFmtId="177" fontId="62" fillId="65" borderId="0" applyNumberFormat="0" applyBorder="0" applyAlignment="0" applyProtection="0"/>
    <xf numFmtId="177" fontId="168" fillId="66" borderId="0" applyNumberFormat="0" applyBorder="0" applyAlignment="0" applyProtection="0"/>
    <xf numFmtId="0" fontId="168" fillId="66" borderId="0" applyNumberFormat="0" applyBorder="0" applyAlignment="0" applyProtection="0"/>
    <xf numFmtId="177" fontId="168" fillId="67" borderId="0" applyNumberFormat="0" applyBorder="0" applyAlignment="0" applyProtection="0"/>
    <xf numFmtId="0" fontId="168" fillId="67" borderId="0" applyNumberFormat="0" applyBorder="0" applyAlignment="0" applyProtection="0"/>
    <xf numFmtId="177" fontId="168" fillId="68" borderId="0" applyNumberFormat="0" applyBorder="0" applyAlignment="0" applyProtection="0"/>
    <xf numFmtId="0" fontId="168" fillId="68" borderId="0" applyNumberFormat="0" applyBorder="0" applyAlignment="0" applyProtection="0"/>
    <xf numFmtId="177" fontId="169" fillId="64" borderId="14">
      <alignment horizontal="center"/>
    </xf>
    <xf numFmtId="177" fontId="169" fillId="64" borderId="14">
      <alignment horizontal="center"/>
    </xf>
    <xf numFmtId="177" fontId="14" fillId="0" borderId="0">
      <alignment horizontal="right"/>
    </xf>
    <xf numFmtId="177" fontId="170" fillId="0" borderId="0">
      <protection locked="0"/>
    </xf>
    <xf numFmtId="177" fontId="170" fillId="0" borderId="0">
      <protection locked="0"/>
    </xf>
    <xf numFmtId="177" fontId="171" fillId="0" borderId="0" applyNumberFormat="0" applyAlignment="0">
      <alignment horizontal="left"/>
    </xf>
    <xf numFmtId="177" fontId="172" fillId="0" borderId="38" applyNumberFormat="0" applyFill="0" applyProtection="0">
      <alignment horizontal="center" vertical="center" wrapText="1"/>
    </xf>
    <xf numFmtId="17" fontId="173" fillId="69" borderId="0">
      <alignment horizontal="left"/>
    </xf>
    <xf numFmtId="219" fontId="21" fillId="0" borderId="0" applyFont="0" applyFill="0" applyBorder="0" applyAlignment="0" applyProtection="0"/>
    <xf numFmtId="177" fontId="14" fillId="0" borderId="0" applyFont="0" applyFill="0" applyBorder="0" applyAlignment="0" applyProtection="0"/>
    <xf numFmtId="177" fontId="74" fillId="0" borderId="0"/>
    <xf numFmtId="177" fontId="170" fillId="0" borderId="0">
      <protection locked="0"/>
    </xf>
    <xf numFmtId="177" fontId="174" fillId="0" borderId="0">
      <protection locked="0"/>
    </xf>
    <xf numFmtId="177" fontId="175" fillId="0" borderId="0">
      <protection locked="0"/>
    </xf>
    <xf numFmtId="177" fontId="162" fillId="0" borderId="0">
      <protection locked="0"/>
    </xf>
    <xf numFmtId="177" fontId="162" fillId="0" borderId="0">
      <protection locked="0"/>
    </xf>
    <xf numFmtId="177" fontId="162" fillId="0" borderId="0">
      <protection locked="0"/>
    </xf>
    <xf numFmtId="177" fontId="174" fillId="0" borderId="0">
      <protection locked="0"/>
    </xf>
    <xf numFmtId="177" fontId="176" fillId="0" borderId="0"/>
    <xf numFmtId="177" fontId="30" fillId="0" borderId="0" applyFill="0" applyBorder="0" applyAlignment="0" applyProtection="0"/>
    <xf numFmtId="177" fontId="162" fillId="0" borderId="0">
      <protection locked="0"/>
    </xf>
    <xf numFmtId="3" fontId="35" fillId="0" borderId="0" applyFont="0" applyFill="0" applyAlignment="0" applyProtection="0"/>
    <xf numFmtId="177" fontId="162" fillId="0" borderId="0">
      <protection locked="0"/>
    </xf>
    <xf numFmtId="3" fontId="14" fillId="0" borderId="0" applyFont="0" applyFill="0" applyBorder="0" applyAlignment="0" applyProtection="0"/>
    <xf numFmtId="177" fontId="14" fillId="0" borderId="0"/>
    <xf numFmtId="177" fontId="159" fillId="0" borderId="0">
      <protection locked="0"/>
    </xf>
    <xf numFmtId="1" fontId="84" fillId="0" borderId="0" applyFont="0" applyFill="0" applyBorder="0" applyAlignment="0" applyProtection="0"/>
    <xf numFmtId="177" fontId="38" fillId="0" borderId="0"/>
    <xf numFmtId="177" fontId="38" fillId="0" borderId="0"/>
    <xf numFmtId="177" fontId="97" fillId="0" borderId="0">
      <alignment horizontal="centerContinuous"/>
    </xf>
    <xf numFmtId="177" fontId="177" fillId="0" borderId="0"/>
    <xf numFmtId="177" fontId="178" fillId="0" borderId="0" applyNumberFormat="0" applyFill="0" applyBorder="0" applyAlignment="0" applyProtection="0"/>
    <xf numFmtId="177" fontId="153" fillId="0" borderId="0" applyNumberFormat="0" applyFill="0" applyBorder="0" applyAlignment="0" applyProtection="0"/>
    <xf numFmtId="177" fontId="155" fillId="70" borderId="0">
      <alignment horizontal="right" vertical="center"/>
    </xf>
    <xf numFmtId="177" fontId="155" fillId="70" borderId="0">
      <alignment horizontal="right" vertical="center"/>
    </xf>
    <xf numFmtId="177" fontId="48" fillId="71" borderId="0">
      <alignment horizontal="right" vertical="center"/>
    </xf>
    <xf numFmtId="177" fontId="30" fillId="5" borderId="16" applyFont="0" applyBorder="0" applyAlignment="0" applyProtection="0">
      <alignment vertical="top"/>
    </xf>
    <xf numFmtId="177" fontId="179" fillId="0" borderId="0" applyNumberFormat="0" applyFill="0" applyBorder="0" applyAlignment="0" applyProtection="0"/>
    <xf numFmtId="38" fontId="14" fillId="0" borderId="0"/>
    <xf numFmtId="177" fontId="3" fillId="0" borderId="0"/>
    <xf numFmtId="39" fontId="18" fillId="0" borderId="0"/>
    <xf numFmtId="177" fontId="180" fillId="0" borderId="0" applyNumberFormat="0" applyFill="0" applyBorder="0" applyAlignment="0" applyProtection="0"/>
    <xf numFmtId="177" fontId="58" fillId="72" borderId="39" applyNumberFormat="0" applyFont="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30" fillId="0" borderId="0" applyNumberFormat="0" applyFill="0" applyBorder="0" applyProtection="0">
      <alignment wrapText="1"/>
    </xf>
    <xf numFmtId="177" fontId="43" fillId="0" borderId="0" applyNumberFormat="0" applyFill="0" applyBorder="0" applyProtection="0">
      <alignment wrapText="1"/>
    </xf>
    <xf numFmtId="177" fontId="179" fillId="0" borderId="0" applyNumberFormat="0" applyFill="0" applyBorder="0" applyAlignment="0" applyProtection="0"/>
    <xf numFmtId="38" fontId="30" fillId="53" borderId="0" applyNumberFormat="0" applyBorder="0" applyAlignment="0" applyProtection="0"/>
    <xf numFmtId="177" fontId="28" fillId="0" borderId="0"/>
    <xf numFmtId="177" fontId="28" fillId="0" borderId="0" applyFill="0" applyBorder="0" applyAlignment="0" applyProtection="0"/>
    <xf numFmtId="172" fontId="181" fillId="0" borderId="0">
      <alignment horizontal="center"/>
    </xf>
    <xf numFmtId="177" fontId="182" fillId="0" borderId="0" applyNumberFormat="0" applyFill="0" applyBorder="0" applyAlignment="0" applyProtection="0"/>
    <xf numFmtId="177" fontId="18" fillId="73" borderId="16" applyNumberFormat="0" applyFont="0" applyAlignment="0"/>
    <xf numFmtId="177" fontId="3" fillId="0" borderId="0" applyFont="0" applyFill="0" applyBorder="0" applyAlignment="0" applyProtection="0">
      <alignment horizontal="right"/>
    </xf>
    <xf numFmtId="1" fontId="183" fillId="0" borderId="0">
      <alignment horizontal="left"/>
      <protection locked="0"/>
    </xf>
    <xf numFmtId="177" fontId="109" fillId="0" borderId="12" applyNumberFormat="0" applyAlignment="0" applyProtection="0">
      <alignment horizontal="left" vertical="center"/>
    </xf>
    <xf numFmtId="177" fontId="109" fillId="0" borderId="9">
      <alignment horizontal="left" vertical="center"/>
    </xf>
    <xf numFmtId="177" fontId="109" fillId="0" borderId="9">
      <alignment horizontal="left" vertical="center"/>
    </xf>
    <xf numFmtId="177" fontId="109" fillId="0" borderId="9">
      <alignment horizontal="left" vertical="center"/>
    </xf>
    <xf numFmtId="177" fontId="109" fillId="0" borderId="9">
      <alignment horizontal="left" vertical="center"/>
    </xf>
    <xf numFmtId="177" fontId="109" fillId="0" borderId="9">
      <alignment horizontal="left" vertical="center"/>
    </xf>
    <xf numFmtId="177" fontId="109" fillId="0" borderId="9">
      <alignment horizontal="left" vertical="center"/>
    </xf>
    <xf numFmtId="177" fontId="184" fillId="0" borderId="0">
      <alignment horizontal="center"/>
    </xf>
    <xf numFmtId="177" fontId="152" fillId="0" borderId="0"/>
    <xf numFmtId="177" fontId="151" fillId="0" borderId="0"/>
    <xf numFmtId="14" fontId="129" fillId="0" borderId="8" applyFill="0">
      <alignment horizontal="center" vertical="center" wrapText="1"/>
    </xf>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220" fontId="30" fillId="0" borderId="7">
      <alignment horizontal="right" vertical="center"/>
    </xf>
    <xf numFmtId="177" fontId="110" fillId="0" borderId="0" applyFill="0" applyAlignment="0" applyProtection="0">
      <protection locked="0"/>
    </xf>
    <xf numFmtId="177" fontId="110" fillId="0" borderId="7" applyFill="0" applyAlignment="0" applyProtection="0">
      <protection locked="0"/>
    </xf>
    <xf numFmtId="177" fontId="140" fillId="0" borderId="0" applyNumberFormat="0" applyFill="0" applyBorder="0" applyProtection="0">
      <alignment horizontal="center"/>
    </xf>
    <xf numFmtId="177" fontId="188" fillId="0" borderId="0"/>
    <xf numFmtId="177" fontId="189" fillId="0" borderId="0"/>
    <xf numFmtId="177" fontId="78" fillId="0" borderId="0">
      <alignment horizontal="centerContinuous"/>
    </xf>
    <xf numFmtId="177" fontId="190" fillId="0" borderId="8">
      <alignment horizontal="center"/>
    </xf>
    <xf numFmtId="177" fontId="190" fillId="0" borderId="0">
      <alignment horizontal="center"/>
    </xf>
    <xf numFmtId="177" fontId="78" fillId="0" borderId="3">
      <alignment horizontal="center"/>
    </xf>
    <xf numFmtId="174" fontId="14" fillId="0" borderId="0" applyFill="0" applyBorder="0" applyAlignment="0" applyProtection="0"/>
    <xf numFmtId="177" fontId="24" fillId="0" borderId="0" applyNumberFormat="0" applyFill="0" applyBorder="0" applyAlignment="0" applyProtection="0">
      <alignment horizontal="centerContinuous"/>
    </xf>
    <xf numFmtId="177" fontId="152" fillId="0" borderId="0"/>
    <xf numFmtId="177" fontId="191" fillId="0" borderId="0" applyNumberFormat="0" applyFill="0" applyBorder="0" applyAlignment="0" applyProtection="0">
      <alignment horizontal="center" vertical="top" wrapText="1"/>
    </xf>
    <xf numFmtId="177" fontId="192" fillId="0" borderId="0" applyNumberFormat="0" applyFill="0" applyBorder="0" applyAlignment="0" applyProtection="0"/>
    <xf numFmtId="177" fontId="87" fillId="0" borderId="43" applyNumberFormat="0" applyFill="0" applyAlignment="0" applyProtection="0"/>
    <xf numFmtId="177" fontId="30" fillId="47" borderId="23" applyNumberFormat="0" applyAlignment="0" applyProtection="0"/>
    <xf numFmtId="177" fontId="30" fillId="47" borderId="23" applyNumberFormat="0" applyAlignment="0" applyProtection="0"/>
    <xf numFmtId="177" fontId="30" fillId="0" borderId="0" applyFill="0" applyBorder="0" applyAlignment="0" applyProtection="0"/>
    <xf numFmtId="3" fontId="2" fillId="53" borderId="16" applyNumberFormat="0" applyFill="0" applyBorder="0" applyAlignment="0" applyProtection="0"/>
    <xf numFmtId="177" fontId="21" fillId="0" borderId="0" applyNumberFormat="0" applyFill="0" applyBorder="0" applyAlignment="0" applyProtection="0"/>
    <xf numFmtId="39" fontId="24" fillId="0" borderId="0">
      <alignment vertical="center"/>
    </xf>
    <xf numFmtId="10" fontId="30" fillId="73" borderId="16" applyNumberFormat="0" applyBorder="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6" fontId="194" fillId="0" borderId="16" applyNumberFormat="0" applyFill="0" applyAlignment="0" applyProtection="0"/>
    <xf numFmtId="37" fontId="194" fillId="0" borderId="0" applyProtection="0"/>
    <xf numFmtId="176" fontId="14" fillId="0" borderId="16" applyNumberFormat="0" applyFill="0" applyAlignment="0" applyProtection="0"/>
    <xf numFmtId="220" fontId="74" fillId="74" borderId="0"/>
    <xf numFmtId="206" fontId="30" fillId="73" borderId="0" applyNumberFormat="0" applyFont="0" applyBorder="0" applyAlignment="0" applyProtection="0">
      <alignment horizontal="center"/>
      <protection locked="0"/>
    </xf>
    <xf numFmtId="176" fontId="30" fillId="73" borderId="7" applyNumberFormat="0" applyFont="0" applyAlignment="0" applyProtection="0">
      <alignment horizontal="center"/>
      <protection locked="0"/>
    </xf>
    <xf numFmtId="177" fontId="87" fillId="0" borderId="0" applyNumberFormat="0" applyFill="0" applyBorder="0" applyAlignment="0">
      <protection locked="0"/>
    </xf>
    <xf numFmtId="177" fontId="14" fillId="0" borderId="0"/>
    <xf numFmtId="177" fontId="14" fillId="0" borderId="0"/>
    <xf numFmtId="177" fontId="14" fillId="0" borderId="0"/>
    <xf numFmtId="177" fontId="14" fillId="0" borderId="0"/>
    <xf numFmtId="221" fontId="195" fillId="0" borderId="13">
      <alignment horizontal="center"/>
    </xf>
    <xf numFmtId="177" fontId="196" fillId="0" borderId="0"/>
    <xf numFmtId="177" fontId="197" fillId="0" borderId="0" applyNumberFormat="0" applyBorder="0" applyProtection="0">
      <alignment horizontal="left"/>
    </xf>
    <xf numFmtId="177" fontId="198" fillId="5" borderId="21"/>
    <xf numFmtId="177" fontId="199" fillId="5" borderId="21"/>
    <xf numFmtId="166" fontId="32" fillId="0" borderId="0"/>
    <xf numFmtId="177" fontId="14" fillId="0" borderId="0" applyFont="0" applyFill="0" applyBorder="0" applyAlignment="0" applyProtection="0"/>
    <xf numFmtId="177" fontId="30" fillId="0" borderId="0" applyNumberFormat="0" applyProtection="0">
      <alignment horizontal="left" vertical="top" wrapText="1"/>
    </xf>
    <xf numFmtId="194" fontId="56" fillId="0" borderId="0"/>
    <xf numFmtId="0" fontId="56"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0"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0"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0" fontId="200" fillId="0" borderId="0"/>
    <xf numFmtId="194" fontId="200" fillId="0" borderId="0"/>
    <xf numFmtId="0"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0"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0"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0"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0"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0"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0"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0"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194" fontId="200" fillId="0" borderId="0"/>
    <xf numFmtId="0" fontId="200" fillId="0" borderId="0"/>
    <xf numFmtId="194" fontId="200"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194" fontId="201" fillId="0" borderId="0"/>
    <xf numFmtId="0" fontId="201" fillId="0" borderId="0"/>
    <xf numFmtId="194" fontId="201" fillId="0" borderId="0"/>
    <xf numFmtId="177" fontId="30" fillId="0" borderId="16" applyNumberFormat="0" applyFill="0" applyBorder="0">
      <alignment horizontal="center" vertical="top" wrapText="1"/>
    </xf>
    <xf numFmtId="177" fontId="202" fillId="0" borderId="0" applyNumberFormat="0" applyFill="0" applyBorder="0" applyProtection="0">
      <alignment horizontal="left" vertical="center"/>
    </xf>
    <xf numFmtId="177" fontId="14" fillId="0" borderId="44" applyNumberFormat="0" applyFont="0" applyFill="0" applyAlignment="0" applyProtection="0">
      <alignment horizontal="right"/>
    </xf>
    <xf numFmtId="177" fontId="25" fillId="0" borderId="0">
      <alignment horizontal="left"/>
    </xf>
    <xf numFmtId="177" fontId="203" fillId="0" borderId="0" applyNumberFormat="0">
      <alignment horizontal="left"/>
    </xf>
    <xf numFmtId="39" fontId="62" fillId="0" borderId="0">
      <alignment horizontal="center" vertical="center"/>
    </xf>
    <xf numFmtId="177" fontId="30" fillId="0" borderId="0" applyNumberFormat="0" applyFill="0" applyBorder="0" applyProtection="0">
      <alignment horizontal="left"/>
    </xf>
    <xf numFmtId="177" fontId="18" fillId="0" borderId="0" applyNumberFormat="0" applyFill="0" applyBorder="0" applyProtection="0">
      <alignment horizontal="left"/>
    </xf>
    <xf numFmtId="177" fontId="204" fillId="0" borderId="0"/>
    <xf numFmtId="177" fontId="25" fillId="0" borderId="0" applyFont="0" applyFill="0" applyBorder="0" applyAlignment="0" applyProtection="0"/>
    <xf numFmtId="177" fontId="136" fillId="55" borderId="0">
      <alignment horizontal="left"/>
    </xf>
    <xf numFmtId="177" fontId="96" fillId="56" borderId="0">
      <alignment horizontal="left"/>
    </xf>
    <xf numFmtId="200" fontId="205" fillId="0" borderId="0" applyNumberFormat="0" applyFill="0" applyBorder="0" applyAlignment="0" applyProtection="0"/>
    <xf numFmtId="37" fontId="206" fillId="0" borderId="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220" fontId="21" fillId="55" borderId="0"/>
    <xf numFmtId="177" fontId="2" fillId="56" borderId="0"/>
    <xf numFmtId="177" fontId="114" fillId="0" borderId="0"/>
    <xf numFmtId="177" fontId="14" fillId="75" borderId="0" applyNumberFormat="0" applyFont="0" applyBorder="0" applyAlignment="0"/>
    <xf numFmtId="222" fontId="14" fillId="76" borderId="46" applyNumberFormat="0" applyFont="0" applyBorder="0" applyAlignment="0"/>
    <xf numFmtId="189" fontId="35" fillId="77" borderId="0" applyFont="0" applyAlignment="0"/>
    <xf numFmtId="1" fontId="208" fillId="78" borderId="0"/>
    <xf numFmtId="177" fontId="155" fillId="69" borderId="0">
      <alignment horizontal="right" vertical="center"/>
    </xf>
    <xf numFmtId="177" fontId="155" fillId="79" borderId="0">
      <alignment horizontal="right" vertical="center"/>
    </xf>
    <xf numFmtId="177" fontId="48" fillId="79" borderId="0">
      <alignment horizontal="right" vertical="center"/>
    </xf>
    <xf numFmtId="177" fontId="14" fillId="0" borderId="0" applyFill="0" applyBorder="0" applyAlignment="0" applyProtection="0"/>
    <xf numFmtId="177" fontId="14" fillId="0" borderId="0" applyFill="0" applyBorder="0" applyAlignment="0" applyProtection="0"/>
    <xf numFmtId="17" fontId="24" fillId="0" borderId="0"/>
    <xf numFmtId="177" fontId="30" fillId="0" borderId="0"/>
    <xf numFmtId="177" fontId="14" fillId="0" borderId="0" applyFont="0" applyFill="0" applyBorder="0" applyAlignment="0" applyProtection="0"/>
    <xf numFmtId="177" fontId="14" fillId="0" borderId="0" applyFont="0" applyFill="0" applyBorder="0" applyAlignment="0" applyProtection="0"/>
    <xf numFmtId="39" fontId="24" fillId="0" borderId="0">
      <alignment vertical="center"/>
    </xf>
    <xf numFmtId="177" fontId="14" fillId="0" borderId="0" applyFont="0" applyFill="0" applyBorder="0" applyAlignment="0" applyProtection="0"/>
    <xf numFmtId="177" fontId="14" fillId="0" borderId="0" applyFont="0" applyFill="0" applyBorder="0" applyAlignment="0" applyProtection="0"/>
    <xf numFmtId="177" fontId="14" fillId="0" borderId="0" applyFill="0" applyBorder="0" applyAlignment="0" applyProtection="0"/>
    <xf numFmtId="177" fontId="14" fillId="0" borderId="0" applyFill="0" applyBorder="0" applyAlignment="0" applyProtection="0"/>
    <xf numFmtId="177" fontId="19" fillId="0" borderId="0"/>
    <xf numFmtId="177" fontId="209" fillId="0" borderId="14">
      <alignment horizontal="left"/>
      <protection locked="0"/>
    </xf>
    <xf numFmtId="177" fontId="25" fillId="0" borderId="0" applyNumberFormat="0" applyFill="0" applyBorder="0" applyProtection="0"/>
    <xf numFmtId="177" fontId="24" fillId="0" borderId="0" applyNumberFormat="0" applyFill="0" applyBorder="0" applyProtection="0"/>
    <xf numFmtId="177" fontId="3" fillId="0" borderId="0" applyFill="0" applyBorder="0" applyAlignment="0" applyProtection="0">
      <alignment horizontal="right"/>
    </xf>
    <xf numFmtId="177" fontId="210" fillId="53" borderId="5">
      <alignment horizontal="left"/>
    </xf>
    <xf numFmtId="177" fontId="210" fillId="53" borderId="5">
      <alignment horizontal="left"/>
    </xf>
    <xf numFmtId="177" fontId="210" fillId="53" borderId="5">
      <alignment horizontal="left"/>
    </xf>
    <xf numFmtId="177" fontId="210" fillId="53" borderId="5">
      <alignment horizontal="left"/>
    </xf>
    <xf numFmtId="177" fontId="210" fillId="53" borderId="5">
      <alignment horizontal="left"/>
    </xf>
    <xf numFmtId="177" fontId="210" fillId="53" borderId="5">
      <alignment horizontal="left"/>
    </xf>
    <xf numFmtId="177" fontId="210" fillId="53" borderId="5">
      <alignment horizontal="left"/>
    </xf>
    <xf numFmtId="177" fontId="210" fillId="53" borderId="5">
      <alignment horizontal="left"/>
    </xf>
    <xf numFmtId="177" fontId="210" fillId="53" borderId="5">
      <alignment horizontal="left"/>
    </xf>
    <xf numFmtId="177" fontId="210" fillId="53" borderId="5">
      <alignment horizontal="left"/>
    </xf>
    <xf numFmtId="177" fontId="210" fillId="53" borderId="5">
      <alignment horizontal="left"/>
    </xf>
    <xf numFmtId="177" fontId="210" fillId="53" borderId="5">
      <alignment horizontal="left"/>
    </xf>
    <xf numFmtId="14" fontId="195" fillId="0" borderId="13">
      <alignment horizontal="center"/>
    </xf>
    <xf numFmtId="177" fontId="211" fillId="80" borderId="16" applyNumberFormat="0" applyFont="0" applyFill="0" applyAlignment="0" applyProtection="0">
      <alignment vertical="top"/>
    </xf>
    <xf numFmtId="177" fontId="2" fillId="64" borderId="0"/>
    <xf numFmtId="223" fontId="195" fillId="0" borderId="13"/>
    <xf numFmtId="172" fontId="29" fillId="0" borderId="0" applyFont="0" applyFill="0" applyBorder="0" applyAlignment="0" applyProtection="0"/>
    <xf numFmtId="174" fontId="29" fillId="0" borderId="0" applyFont="0" applyFill="0" applyBorder="0" applyAlignment="0" applyProtection="0"/>
    <xf numFmtId="177" fontId="212" fillId="0" borderId="0" applyBorder="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153" fillId="0" borderId="0" applyFont="0" applyFill="0" applyBorder="0" applyAlignment="0" applyProtection="0">
      <alignment horizontal="right"/>
    </xf>
    <xf numFmtId="177" fontId="153" fillId="0" borderId="0" applyFill="0" applyProtection="0">
      <alignment horizontal="right"/>
    </xf>
    <xf numFmtId="3" fontId="153" fillId="0" borderId="0" applyFont="0" applyFill="0" applyBorder="0" applyAlignment="0" applyProtection="0">
      <alignment horizontal="center"/>
    </xf>
    <xf numFmtId="177" fontId="129" fillId="0" borderId="9" applyFont="0" applyFill="0" applyBorder="0" applyAlignment="0" applyProtection="0">
      <alignment horizontal="center"/>
    </xf>
    <xf numFmtId="37" fontId="14" fillId="0" borderId="0" applyFont="0" applyFill="0" applyBorder="0" applyAlignment="0" applyProtection="0"/>
    <xf numFmtId="37" fontId="14" fillId="0" borderId="0" applyFont="0" applyFill="0" applyBorder="0" applyAlignment="0" applyProtection="0"/>
    <xf numFmtId="177" fontId="21" fillId="0" borderId="8"/>
    <xf numFmtId="168" fontId="27" fillId="0" borderId="0" applyFont="0" applyFill="0" applyBorder="0" applyAlignment="0" applyProtection="0"/>
    <xf numFmtId="169" fontId="27" fillId="0" borderId="0" applyFont="0" applyFill="0" applyBorder="0" applyAlignment="0" applyProtection="0"/>
    <xf numFmtId="177" fontId="25" fillId="0" borderId="0">
      <alignment horizontal="center"/>
    </xf>
    <xf numFmtId="177" fontId="14" fillId="0" borderId="0" applyFont="0" applyFill="0" applyBorder="0" applyAlignment="0" applyProtection="0"/>
    <xf numFmtId="177" fontId="1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162" fillId="0" borderId="0">
      <protection locked="0"/>
    </xf>
    <xf numFmtId="177" fontId="30" fillId="0" borderId="0" applyFill="0" applyBorder="0" applyAlignment="0" applyProtection="0"/>
    <xf numFmtId="177" fontId="14" fillId="0" borderId="0">
      <alignment horizontal="left"/>
    </xf>
    <xf numFmtId="37" fontId="24" fillId="81" borderId="0">
      <protection locked="0"/>
    </xf>
    <xf numFmtId="224" fontId="21" fillId="0" borderId="0" applyFont="0" applyFill="0" applyBorder="0" applyAlignment="0" applyProtection="0"/>
    <xf numFmtId="49" fontId="213" fillId="60" borderId="0">
      <alignment horizontal="center" vertical="center"/>
    </xf>
    <xf numFmtId="177" fontId="3" fillId="0" borderId="0"/>
    <xf numFmtId="177" fontId="14" fillId="0" borderId="0" applyFont="0" applyFill="0" applyBorder="0" applyProtection="0">
      <alignment horizontal="right" vertical="center"/>
    </xf>
    <xf numFmtId="177" fontId="14" fillId="0" borderId="47">
      <protection locked="0"/>
    </xf>
    <xf numFmtId="177" fontId="14" fillId="0" borderId="47">
      <protection locked="0"/>
    </xf>
    <xf numFmtId="225" fontId="214" fillId="0" borderId="47">
      <protection locked="0"/>
    </xf>
    <xf numFmtId="225" fontId="214" fillId="0" borderId="47">
      <protection locked="0"/>
    </xf>
    <xf numFmtId="225" fontId="214" fillId="0" borderId="47">
      <protection locked="0"/>
    </xf>
    <xf numFmtId="225" fontId="214" fillId="0" borderId="47">
      <protection locked="0"/>
    </xf>
    <xf numFmtId="177" fontId="14" fillId="0" borderId="0" applyFont="0" applyFill="0" applyBorder="0" applyProtection="0">
      <alignment horizontal="right" vertical="center"/>
    </xf>
    <xf numFmtId="177" fontId="14" fillId="0" borderId="0" applyFont="0" applyFill="0" applyBorder="0" applyProtection="0">
      <alignment horizontal="right" vertical="center"/>
    </xf>
    <xf numFmtId="177" fontId="14" fillId="0" borderId="0" applyFont="0" applyFill="0" applyBorder="0" applyProtection="0">
      <alignment horizontal="right" vertical="center"/>
    </xf>
    <xf numFmtId="177" fontId="124" fillId="0" borderId="0"/>
    <xf numFmtId="177" fontId="14" fillId="0" borderId="0" applyFill="0" applyBorder="0" applyAlignment="0" applyProtection="0"/>
    <xf numFmtId="177" fontId="14" fillId="0" borderId="0" applyFill="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15" fillId="82" borderId="0"/>
    <xf numFmtId="177" fontId="136" fillId="83" borderId="0"/>
    <xf numFmtId="177" fontId="216" fillId="0" borderId="0"/>
    <xf numFmtId="38" fontId="14" fillId="0" borderId="0"/>
    <xf numFmtId="177" fontId="14" fillId="0" borderId="0"/>
    <xf numFmtId="177" fontId="128" fillId="0" borderId="0" applyNumberFormat="0" applyFill="0" applyAlignment="0" applyProtection="0"/>
    <xf numFmtId="177" fontId="72" fillId="0" borderId="0"/>
    <xf numFmtId="37" fontId="149" fillId="0" borderId="0"/>
    <xf numFmtId="226" fontId="217" fillId="0" borderId="0"/>
    <xf numFmtId="177" fontId="74" fillId="0" borderId="0"/>
    <xf numFmtId="177" fontId="74" fillId="0" borderId="0"/>
    <xf numFmtId="177" fontId="74" fillId="0" borderId="0"/>
    <xf numFmtId="177" fontId="74" fillId="0" borderId="0"/>
    <xf numFmtId="177" fontId="38" fillId="0" borderId="0"/>
    <xf numFmtId="177" fontId="14" fillId="0" borderId="0"/>
    <xf numFmtId="177" fontId="14" fillId="0" borderId="0"/>
    <xf numFmtId="177" fontId="14" fillId="0" borderId="0"/>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2" fillId="0" borderId="0"/>
    <xf numFmtId="177" fontId="12" fillId="0" borderId="0"/>
    <xf numFmtId="177" fontId="14" fillId="0" borderId="0"/>
    <xf numFmtId="177" fontId="12" fillId="0" borderId="0"/>
    <xf numFmtId="177" fontId="21" fillId="0" borderId="0"/>
    <xf numFmtId="177" fontId="14" fillId="0" borderId="0"/>
    <xf numFmtId="0" fontId="1" fillId="0" borderId="0"/>
    <xf numFmtId="0" fontId="13" fillId="0" borderId="0"/>
    <xf numFmtId="0" fontId="13" fillId="0" borderId="0"/>
    <xf numFmtId="177" fontId="14" fillId="0" borderId="0"/>
    <xf numFmtId="177" fontId="14" fillId="0" borderId="0"/>
    <xf numFmtId="177" fontId="12"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0" fontId="1" fillId="0" borderId="0"/>
    <xf numFmtId="177" fontId="12" fillId="0" borderId="0"/>
    <xf numFmtId="177" fontId="12" fillId="0" borderId="0"/>
    <xf numFmtId="177" fontId="12" fillId="0" borderId="0"/>
    <xf numFmtId="177" fontId="12" fillId="0" borderId="0"/>
    <xf numFmtId="177" fontId="12" fillId="0" borderId="0"/>
    <xf numFmtId="177" fontId="14" fillId="0" borderId="0"/>
    <xf numFmtId="177" fontId="12" fillId="0" borderId="0"/>
    <xf numFmtId="177" fontId="12" fillId="0" borderId="0"/>
    <xf numFmtId="177" fontId="12" fillId="0" borderId="0"/>
    <xf numFmtId="177" fontId="14" fillId="0" borderId="0"/>
    <xf numFmtId="177" fontId="14" fillId="0" borderId="0"/>
    <xf numFmtId="177" fontId="14" fillId="0" borderId="0"/>
    <xf numFmtId="177" fontId="14" fillId="0" borderId="0"/>
    <xf numFmtId="177" fontId="12"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 fillId="0" borderId="0"/>
    <xf numFmtId="177" fontId="21"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7"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2"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218"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3"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21"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75" fillId="0" borderId="0"/>
    <xf numFmtId="177" fontId="14" fillId="0" borderId="0"/>
    <xf numFmtId="177" fontId="14" fillId="0" borderId="0"/>
    <xf numFmtId="177" fontId="84" fillId="0" borderId="0"/>
    <xf numFmtId="177" fontId="84" fillId="0" borderId="0"/>
    <xf numFmtId="177" fontId="84" fillId="0" borderId="0"/>
    <xf numFmtId="177" fontId="19" fillId="0" borderId="0"/>
    <xf numFmtId="177" fontId="75" fillId="0" borderId="0"/>
    <xf numFmtId="177" fontId="14" fillId="0" borderId="0" applyFill="0" applyBorder="0" applyProtection="0">
      <protection locked="0"/>
    </xf>
    <xf numFmtId="177" fontId="14" fillId="0" borderId="0" applyFill="0" applyBorder="0" applyProtection="0">
      <protection locked="0"/>
    </xf>
    <xf numFmtId="177" fontId="75" fillId="0" borderId="0"/>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75" fillId="0" borderId="0"/>
    <xf numFmtId="177" fontId="14" fillId="0" borderId="0"/>
    <xf numFmtId="177" fontId="14" fillId="0" borderId="0"/>
    <xf numFmtId="177" fontId="12" fillId="0" borderId="0"/>
    <xf numFmtId="177" fontId="14" fillId="0" borderId="0"/>
    <xf numFmtId="177" fontId="14" fillId="0" borderId="0"/>
    <xf numFmtId="177" fontId="14" fillId="0" borderId="0"/>
    <xf numFmtId="177" fontId="14" fillId="0" borderId="0"/>
    <xf numFmtId="177" fontId="14" fillId="0" borderId="0"/>
    <xf numFmtId="177" fontId="14" fillId="0" borderId="0"/>
    <xf numFmtId="177" fontId="75" fillId="0" borderId="0"/>
    <xf numFmtId="177" fontId="75" fillId="0" borderId="0"/>
    <xf numFmtId="177" fontId="75" fillId="0" borderId="0"/>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4" fillId="0" borderId="0" applyFill="0" applyBorder="0" applyProtection="0">
      <protection locked="0"/>
    </xf>
    <xf numFmtId="177" fontId="18" fillId="0" borderId="0" applyNumberFormat="0" applyFill="0" applyBorder="0" applyAlignment="0" applyProtection="0"/>
    <xf numFmtId="227" fontId="27" fillId="0" borderId="0" applyFont="0" applyFill="0" applyBorder="0" applyAlignment="0" applyProtection="0"/>
    <xf numFmtId="228" fontId="27" fillId="0" borderId="0" applyFont="0" applyFill="0" applyBorder="0" applyAlignment="0" applyProtection="0"/>
    <xf numFmtId="229" fontId="27" fillId="0" borderId="0" applyFont="0" applyFill="0" applyBorder="0" applyAlignment="0" applyProtection="0"/>
    <xf numFmtId="230" fontId="27" fillId="0" borderId="0" applyFont="0" applyFill="0" applyBorder="0" applyAlignment="0" applyProtection="0"/>
    <xf numFmtId="177" fontId="99" fillId="0" borderId="0"/>
    <xf numFmtId="177" fontId="29" fillId="0" borderId="0">
      <alignment horizontal="left"/>
    </xf>
    <xf numFmtId="40" fontId="18" fillId="0" borderId="0">
      <alignment horizontal="left"/>
    </xf>
    <xf numFmtId="177" fontId="29" fillId="0" borderId="0"/>
    <xf numFmtId="177" fontId="219" fillId="0" borderId="0"/>
    <xf numFmtId="177" fontId="220" fillId="0" borderId="0" applyNumberFormat="0" applyFill="0" applyBorder="0" applyAlignment="0" applyProtection="0"/>
    <xf numFmtId="177" fontId="221" fillId="0" borderId="0" applyNumberFormat="0" applyFill="0" applyBorder="0" applyAlignment="0" applyProtection="0"/>
    <xf numFmtId="177" fontId="222" fillId="0" borderId="0" applyFill="0" applyBorder="0" applyAlignment="0" applyProtection="0"/>
    <xf numFmtId="177" fontId="223" fillId="0" borderId="0" applyNumberFormat="0" applyFill="0" applyBorder="0" applyAlignment="0" applyProtection="0"/>
    <xf numFmtId="177" fontId="197" fillId="0" borderId="0" applyBorder="0">
      <alignment horizontal="left"/>
    </xf>
    <xf numFmtId="177" fontId="29" fillId="0" borderId="0"/>
    <xf numFmtId="177" fontId="224" fillId="0" borderId="0"/>
    <xf numFmtId="39" fontId="62" fillId="0" borderId="0">
      <alignment horizontal="center" vertical="center"/>
    </xf>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225" fillId="0" borderId="0" applyBorder="0">
      <alignment horizontal="left" vertical="top"/>
    </xf>
    <xf numFmtId="177" fontId="30" fillId="0" borderId="0"/>
    <xf numFmtId="177" fontId="30" fillId="0" borderId="0"/>
    <xf numFmtId="177" fontId="22" fillId="0" borderId="0">
      <protection locked="0"/>
    </xf>
    <xf numFmtId="177" fontId="30" fillId="0" borderId="0" applyFill="0" applyBorder="0" applyProtection="0">
      <alignment horizontal="right" wrapText="1"/>
    </xf>
    <xf numFmtId="177" fontId="18" fillId="0" borderId="0" applyFill="0" applyBorder="0" applyProtection="0">
      <alignment horizontal="right" wrapText="1"/>
    </xf>
    <xf numFmtId="177" fontId="25" fillId="0" borderId="0"/>
    <xf numFmtId="177" fontId="30" fillId="0" borderId="0" applyFill="0" applyBorder="0" applyProtection="0">
      <alignment horizontal="right" wrapText="1"/>
    </xf>
    <xf numFmtId="177" fontId="18" fillId="0" borderId="0" applyFill="0" applyBorder="0" applyProtection="0">
      <alignment horizontal="right" wrapText="1"/>
    </xf>
    <xf numFmtId="3" fontId="19" fillId="0" borderId="0" applyBorder="0"/>
    <xf numFmtId="231" fontId="148" fillId="0" borderId="13"/>
    <xf numFmtId="231" fontId="195" fillId="0" borderId="13"/>
    <xf numFmtId="177" fontId="14" fillId="0" borderId="0" applyBorder="0">
      <alignment horizontal="right"/>
    </xf>
    <xf numFmtId="177" fontId="18" fillId="0" borderId="0" applyNumberFormat="0" applyFill="0" applyBorder="0" applyAlignment="0" applyProtection="0"/>
    <xf numFmtId="232" fontId="14" fillId="0" borderId="0" applyNumberFormat="0" applyFill="0" applyBorder="0" applyAlignment="0" applyProtection="0"/>
    <xf numFmtId="177" fontId="30" fillId="0" borderId="0" applyFill="0" applyBorder="0" applyProtection="0">
      <alignment horizontal="right" wrapText="1"/>
    </xf>
    <xf numFmtId="177" fontId="18" fillId="0" borderId="0" applyFill="0" applyBorder="0" applyProtection="0">
      <alignment horizontal="right" wrapText="1"/>
    </xf>
    <xf numFmtId="177" fontId="30" fillId="0" borderId="0" applyFill="0" applyBorder="0" applyProtection="0">
      <alignment horizontal="right" wrapText="1"/>
    </xf>
    <xf numFmtId="177" fontId="18" fillId="0" borderId="0" applyFill="0" applyBorder="0" applyProtection="0">
      <alignment horizontal="right" wrapText="1"/>
    </xf>
    <xf numFmtId="4" fontId="14" fillId="0" borderId="0"/>
    <xf numFmtId="4" fontId="14" fillId="0" borderId="0"/>
    <xf numFmtId="37" fontId="72" fillId="0" borderId="0"/>
    <xf numFmtId="164" fontId="2" fillId="0" borderId="0"/>
    <xf numFmtId="174" fontId="24" fillId="0" borderId="0" applyFont="0" applyFill="0" applyBorder="0" applyAlignment="0" applyProtection="0"/>
    <xf numFmtId="172" fontId="24" fillId="0" borderId="0" applyFont="0" applyFill="0" applyBorder="0" applyAlignment="0" applyProtection="0"/>
    <xf numFmtId="177" fontId="24" fillId="0" borderId="0"/>
    <xf numFmtId="177" fontId="3" fillId="0" borderId="0" applyBorder="0" applyProtection="0"/>
    <xf numFmtId="177" fontId="30" fillId="0" borderId="0" applyFill="0" applyBorder="0" applyAlignment="0" applyProtection="0"/>
    <xf numFmtId="177" fontId="30" fillId="0" borderId="0" applyNumberFormat="0"/>
    <xf numFmtId="177" fontId="14" fillId="0" borderId="0">
      <alignment vertical="center"/>
    </xf>
    <xf numFmtId="177" fontId="14" fillId="0" borderId="0">
      <alignment vertical="center"/>
    </xf>
    <xf numFmtId="177" fontId="18" fillId="0" borderId="0" applyNumberFormat="0"/>
    <xf numFmtId="177" fontId="90" fillId="0" borderId="0"/>
    <xf numFmtId="177" fontId="30" fillId="0" borderId="0" applyNumberFormat="0" applyBorder="0" applyAlignment="0" applyProtection="0"/>
    <xf numFmtId="177" fontId="226" fillId="0" borderId="0">
      <alignment horizontal="left"/>
    </xf>
    <xf numFmtId="177" fontId="79" fillId="0" borderId="16" applyNumberFormat="0" applyFont="0" applyFill="0" applyAlignment="0" applyProtection="0"/>
    <xf numFmtId="177" fontId="21" fillId="0" borderId="0">
      <alignment horizontal="right"/>
    </xf>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40" fontId="228" fillId="5" borderId="0">
      <alignment horizontal="right"/>
    </xf>
    <xf numFmtId="177" fontId="229" fillId="5" borderId="0">
      <alignment horizontal="right"/>
    </xf>
    <xf numFmtId="177" fontId="230" fillId="5" borderId="21"/>
    <xf numFmtId="177" fontId="230" fillId="0" borderId="0" applyBorder="0">
      <alignment horizontal="centerContinuous"/>
    </xf>
    <xf numFmtId="177" fontId="231" fillId="5" borderId="0" applyBorder="0">
      <alignment horizontal="centerContinuous"/>
    </xf>
    <xf numFmtId="177" fontId="30" fillId="84" borderId="0" applyNumberFormat="0" applyBorder="0" applyAlignment="0"/>
    <xf numFmtId="177" fontId="14" fillId="0" borderId="0" applyNumberFormat="0" applyFont="0" applyBorder="0" applyAlignment="0"/>
    <xf numFmtId="9" fontId="2" fillId="0" borderId="0" applyFont="0" applyFill="0" applyBorder="0" applyAlignment="0" applyProtection="0"/>
    <xf numFmtId="177" fontId="2" fillId="0" borderId="0" applyNumberFormat="0"/>
    <xf numFmtId="39" fontId="24" fillId="0" borderId="0">
      <alignment vertical="center"/>
    </xf>
    <xf numFmtId="177" fontId="14" fillId="0" borderId="0" applyFont="0" applyFill="0" applyBorder="0" applyProtection="0">
      <alignment horizontal="right" vertical="center"/>
    </xf>
    <xf numFmtId="177" fontId="14" fillId="0" borderId="47">
      <protection locked="0"/>
    </xf>
    <xf numFmtId="177" fontId="14" fillId="0" borderId="47">
      <protection locked="0"/>
    </xf>
    <xf numFmtId="177" fontId="30" fillId="0" borderId="0" applyFont="0" applyFill="0" applyBorder="0" applyAlignment="0" applyProtection="0"/>
    <xf numFmtId="177" fontId="24" fillId="0" borderId="0"/>
    <xf numFmtId="176" fontId="4" fillId="0" borderId="7" applyNumberFormat="0" applyFont="0" applyBorder="0"/>
    <xf numFmtId="176" fontId="4" fillId="0" borderId="7" applyFont="0" applyFill="0" applyBorder="0" applyAlignment="0" applyProtection="0"/>
    <xf numFmtId="177" fontId="14" fillId="0" borderId="0"/>
    <xf numFmtId="177" fontId="14" fillId="0" borderId="0"/>
    <xf numFmtId="177" fontId="14" fillId="0" borderId="0" applyFont="0" applyFill="0" applyBorder="0" applyProtection="0">
      <alignment horizontal="right" vertical="center"/>
    </xf>
    <xf numFmtId="177" fontId="232" fillId="0" borderId="0">
      <alignment vertical="center"/>
    </xf>
    <xf numFmtId="177" fontId="30" fillId="0" borderId="0" applyFill="0" applyBorder="0" applyAlignment="0" applyProtection="0"/>
    <xf numFmtId="10" fontId="2" fillId="0" borderId="0" applyFont="0" applyFill="0" applyBorder="0" applyAlignment="0" applyProtection="0"/>
    <xf numFmtId="177" fontId="30" fillId="0" borderId="0" applyFill="0" applyBorder="0" applyAlignment="0" applyProtection="0"/>
    <xf numFmtId="177" fontId="233" fillId="0" borderId="0" applyProtection="0">
      <alignment horizontal="left"/>
    </xf>
    <xf numFmtId="177" fontId="14" fillId="0" borderId="0" applyFill="0" applyBorder="0" applyProtection="0">
      <alignment horizontal="left"/>
    </xf>
    <xf numFmtId="177" fontId="14" fillId="0" borderId="0" applyFill="0" applyBorder="0" applyProtection="0">
      <alignment horizontal="left"/>
    </xf>
    <xf numFmtId="177" fontId="14" fillId="0" borderId="0" applyProtection="0">
      <alignment horizontal="left"/>
    </xf>
    <xf numFmtId="1" fontId="234" fillId="0" borderId="0" applyProtection="0">
      <alignment horizontal="right" vertical="center"/>
    </xf>
    <xf numFmtId="177" fontId="2" fillId="0" borderId="0"/>
    <xf numFmtId="177" fontId="62" fillId="0" borderId="48" applyNumberFormat="0" applyAlignment="0" applyProtection="0"/>
    <xf numFmtId="177" fontId="24" fillId="85" borderId="0" applyNumberFormat="0" applyFont="0" applyBorder="0" applyAlignment="0" applyProtection="0"/>
    <xf numFmtId="177" fontId="30" fillId="7" borderId="14" applyNumberFormat="0" applyFont="0" applyBorder="0" applyAlignment="0" applyProtection="0">
      <alignment horizontal="center"/>
    </xf>
    <xf numFmtId="177" fontId="30" fillId="46" borderId="14" applyNumberFormat="0" applyFont="0" applyBorder="0" applyAlignment="0" applyProtection="0">
      <alignment horizontal="center"/>
    </xf>
    <xf numFmtId="177" fontId="24" fillId="0" borderId="49" applyNumberFormat="0" applyAlignment="0" applyProtection="0"/>
    <xf numFmtId="177" fontId="24" fillId="0" borderId="50" applyNumberFormat="0" applyAlignment="0" applyProtection="0"/>
    <xf numFmtId="177" fontId="62" fillId="0" borderId="51" applyNumberFormat="0" applyAlignment="0" applyProtection="0"/>
    <xf numFmtId="177" fontId="14" fillId="0" borderId="0" applyFont="0" applyFill="0" applyBorder="0" applyAlignment="0" applyProtection="0"/>
    <xf numFmtId="14" fontId="25" fillId="0" borderId="0">
      <alignment horizontal="center" wrapText="1"/>
      <protection locked="0"/>
    </xf>
    <xf numFmtId="177" fontId="38" fillId="0" borderId="0"/>
    <xf numFmtId="233" fontId="21" fillId="0" borderId="0" applyFont="0" applyFill="0" applyBorder="0" applyAlignment="0" applyProtection="0"/>
    <xf numFmtId="234" fontId="21" fillId="0" borderId="0" applyFont="0" applyFill="0" applyBorder="0" applyAlignment="0" applyProtection="0"/>
    <xf numFmtId="176" fontId="21" fillId="0" borderId="0" applyFont="0" applyFill="0" applyBorder="0" applyAlignment="0" applyProtection="0"/>
    <xf numFmtId="177" fontId="14" fillId="0" borderId="0"/>
    <xf numFmtId="177" fontId="14" fillId="0" borderId="0"/>
    <xf numFmtId="10" fontId="21" fillId="0" borderId="0" applyFont="0" applyFill="0" applyBorder="0" applyAlignment="0" applyProtection="0"/>
    <xf numFmtId="235" fontId="21" fillId="0" borderId="0" applyFont="0" applyFill="0" applyBorder="0" applyAlignment="0" applyProtection="0"/>
    <xf numFmtId="236" fontId="21" fillId="0" borderId="0" applyFont="0" applyFill="0" applyBorder="0" applyAlignment="0" applyProtection="0"/>
    <xf numFmtId="237" fontId="21" fillId="0" borderId="0" applyFont="0" applyFill="0" applyBorder="0" applyAlignment="0" applyProtection="0"/>
    <xf numFmtId="238" fontId="21" fillId="0" borderId="0" applyFont="0" applyFill="0" applyBorder="0" applyAlignment="0" applyProtection="0"/>
    <xf numFmtId="239" fontId="21" fillId="0" borderId="0" applyFont="0" applyFill="0" applyBorder="0" applyAlignment="0" applyProtection="0"/>
    <xf numFmtId="240" fontId="21" fillId="0" borderId="0" applyFont="0" applyFill="0" applyBorder="0" applyAlignment="0" applyProtection="0"/>
    <xf numFmtId="176" fontId="25" fillId="0" borderId="0">
      <alignment horizontal="right"/>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10" fontId="25" fillId="0" borderId="0">
      <alignment horizontal="right"/>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2"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4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7" fontId="24" fillId="0" borderId="0" applyFont="0" applyFill="0" applyBorder="0" applyProtection="0">
      <alignment horizontal="right"/>
    </xf>
    <xf numFmtId="9" fontId="25" fillId="0" borderId="0">
      <alignment horizontal="right"/>
    </xf>
    <xf numFmtId="177" fontId="23" fillId="5" borderId="0">
      <alignment horizontal="right"/>
    </xf>
    <xf numFmtId="241" fontId="30" fillId="0" borderId="0">
      <alignment horizontal="right"/>
    </xf>
    <xf numFmtId="176" fontId="164" fillId="0" borderId="0"/>
    <xf numFmtId="242" fontId="30" fillId="0" borderId="0"/>
    <xf numFmtId="10" fontId="164" fillId="0" borderId="0">
      <protection locked="0"/>
    </xf>
    <xf numFmtId="206" fontId="99" fillId="0" borderId="0"/>
    <xf numFmtId="177" fontId="30" fillId="0" borderId="0" applyFill="0" applyBorder="0" applyAlignment="0" applyProtection="0"/>
    <xf numFmtId="177" fontId="30" fillId="0" borderId="0" applyFill="0" applyBorder="0" applyAlignment="0" applyProtection="0"/>
    <xf numFmtId="177" fontId="162" fillId="0" borderId="0">
      <protection locked="0"/>
    </xf>
    <xf numFmtId="10" fontId="30" fillId="0" borderId="0" applyFill="0" applyBorder="0" applyAlignment="0" applyProtection="0"/>
    <xf numFmtId="37" fontId="72" fillId="0" borderId="0"/>
    <xf numFmtId="177" fontId="24" fillId="0" borderId="0"/>
    <xf numFmtId="177" fontId="235" fillId="0" borderId="0" applyNumberFormat="0" applyBorder="0"/>
    <xf numFmtId="38" fontId="30" fillId="0" borderId="0" applyFill="0" applyBorder="0" applyAlignment="0" applyProtection="0"/>
    <xf numFmtId="166" fontId="219" fillId="0" borderId="0" applyFont="0" applyFill="0" applyBorder="0" applyAlignment="0" applyProtection="0"/>
    <xf numFmtId="177" fontId="18" fillId="53" borderId="16" applyNumberFormat="0" applyFont="0" applyAlignment="0" applyProtection="0"/>
    <xf numFmtId="206" fontId="30" fillId="53" borderId="0" applyNumberFormat="0" applyFont="0" applyBorder="0" applyAlignment="0" applyProtection="0">
      <alignment horizontal="center"/>
      <protection locked="0"/>
    </xf>
    <xf numFmtId="177" fontId="14" fillId="0" borderId="0"/>
    <xf numFmtId="177" fontId="14" fillId="0" borderId="0"/>
    <xf numFmtId="9" fontId="236" fillId="0" borderId="0" applyNumberFormat="0" applyFill="0" applyBorder="0" applyAlignment="0" applyProtection="0"/>
    <xf numFmtId="177" fontId="237" fillId="0" borderId="0"/>
    <xf numFmtId="177" fontId="237" fillId="0" borderId="52">
      <alignment horizontal="right"/>
    </xf>
    <xf numFmtId="177" fontId="58" fillId="0" borderId="0" applyNumberFormat="0" applyFont="0" applyFill="0" applyBorder="0" applyAlignment="0" applyProtection="0">
      <alignment horizontal="left"/>
    </xf>
    <xf numFmtId="15" fontId="58" fillId="0" borderId="0" applyFont="0" applyFill="0" applyBorder="0" applyAlignment="0" applyProtection="0"/>
    <xf numFmtId="4" fontId="58" fillId="0" borderId="0" applyFont="0" applyFill="0" applyBorder="0" applyAlignment="0" applyProtection="0"/>
    <xf numFmtId="177" fontId="21" fillId="0" borderId="8">
      <alignment horizontal="center"/>
    </xf>
    <xf numFmtId="3" fontId="58" fillId="0" borderId="0" applyFont="0" applyFill="0" applyBorder="0" applyAlignment="0" applyProtection="0"/>
    <xf numFmtId="177" fontId="58" fillId="86" borderId="0" applyNumberFormat="0" applyFont="0" applyBorder="0" applyAlignment="0" applyProtection="0"/>
    <xf numFmtId="177" fontId="14" fillId="0" borderId="0" applyFill="0" applyBorder="0" applyAlignment="0" applyProtection="0"/>
    <xf numFmtId="177" fontId="14" fillId="0" borderId="0" applyFill="0" applyBorder="0" applyAlignment="0" applyProtection="0"/>
    <xf numFmtId="3" fontId="30" fillId="0" borderId="0" applyFill="0" applyBorder="0" applyAlignment="0" applyProtection="0"/>
    <xf numFmtId="39" fontId="72" fillId="0" borderId="0"/>
    <xf numFmtId="177" fontId="24" fillId="0" borderId="0">
      <alignment vertical="top"/>
    </xf>
    <xf numFmtId="177" fontId="24" fillId="0" borderId="0">
      <alignment vertical="top"/>
    </xf>
    <xf numFmtId="177" fontId="24" fillId="0" borderId="0">
      <alignment vertical="top"/>
    </xf>
    <xf numFmtId="177" fontId="24" fillId="0" borderId="0">
      <alignment vertical="top"/>
    </xf>
    <xf numFmtId="177" fontId="24" fillId="0" borderId="0">
      <alignment vertical="top"/>
    </xf>
    <xf numFmtId="177" fontId="24" fillId="0" borderId="0">
      <alignment vertical="top"/>
    </xf>
    <xf numFmtId="177" fontId="24" fillId="0" borderId="0">
      <alignment vertical="top"/>
    </xf>
    <xf numFmtId="177" fontId="14" fillId="0" borderId="0">
      <alignment vertical="center"/>
    </xf>
    <xf numFmtId="177" fontId="14" fillId="0" borderId="0">
      <alignment vertical="center"/>
    </xf>
    <xf numFmtId="177" fontId="30" fillId="0" borderId="0" applyNumberFormat="0" applyFill="0" applyBorder="0" applyProtection="0">
      <alignment horizontal="right" vertical="center"/>
    </xf>
    <xf numFmtId="177" fontId="24" fillId="0" borderId="0">
      <alignment vertical="top"/>
    </xf>
    <xf numFmtId="4" fontId="30" fillId="53" borderId="0" applyFill="0"/>
    <xf numFmtId="177" fontId="14" fillId="0" borderId="0">
      <alignment horizontal="left" indent="7"/>
    </xf>
    <xf numFmtId="177" fontId="25" fillId="0" borderId="0" applyFill="0">
      <alignment horizontal="left"/>
    </xf>
    <xf numFmtId="177" fontId="14" fillId="0" borderId="0" applyFill="0">
      <alignment horizontal="right"/>
    </xf>
    <xf numFmtId="177" fontId="14" fillId="0" borderId="0" applyFill="0">
      <alignment horizontal="right"/>
    </xf>
    <xf numFmtId="177" fontId="25" fillId="0" borderId="16" applyNumberFormat="0" applyBorder="0"/>
    <xf numFmtId="177" fontId="25" fillId="0" borderId="0" applyFill="0"/>
    <xf numFmtId="177" fontId="25" fillId="0" borderId="0" applyFill="0"/>
    <xf numFmtId="177" fontId="14" fillId="0" borderId="0" applyFill="0"/>
    <xf numFmtId="177" fontId="14" fillId="0" borderId="0" applyFill="0"/>
    <xf numFmtId="177" fontId="14" fillId="0" borderId="0" applyNumberFormat="0" applyFont="0" applyBorder="0" applyAlignment="0"/>
    <xf numFmtId="177" fontId="14" fillId="0" borderId="0" applyNumberFormat="0" applyFont="0" applyBorder="0" applyAlignment="0"/>
    <xf numFmtId="177" fontId="25" fillId="0" borderId="0" applyFill="0"/>
    <xf numFmtId="177" fontId="25" fillId="0" borderId="0" applyFill="0">
      <alignment horizontal="left" indent="1"/>
    </xf>
    <xf numFmtId="177" fontId="14" fillId="0" borderId="0" applyFill="0"/>
    <xf numFmtId="177" fontId="14" fillId="0" borderId="0" applyFill="0"/>
    <xf numFmtId="177" fontId="14" fillId="0" borderId="0" applyNumberFormat="0" applyFont="0" applyFill="0" applyBorder="0" applyAlignment="0"/>
    <xf numFmtId="177" fontId="14" fillId="0" borderId="0" applyNumberFormat="0" applyFont="0" applyFill="0" applyBorder="0" applyAlignment="0"/>
    <xf numFmtId="177" fontId="25" fillId="0" borderId="0" applyFill="0"/>
    <xf numFmtId="177" fontId="25" fillId="0" borderId="0" applyFill="0">
      <alignment horizontal="left" indent="1"/>
    </xf>
    <xf numFmtId="177" fontId="14" fillId="0" borderId="0" applyFill="0"/>
    <xf numFmtId="177" fontId="14" fillId="0" borderId="0" applyFill="0"/>
    <xf numFmtId="177" fontId="14" fillId="0" borderId="0" applyNumberFormat="0" applyFont="0" applyBorder="0" applyAlignment="0"/>
    <xf numFmtId="177" fontId="14" fillId="0" borderId="0" applyNumberFormat="0" applyFont="0" applyBorder="0" applyAlignment="0"/>
    <xf numFmtId="177" fontId="25" fillId="0" borderId="0"/>
    <xf numFmtId="177" fontId="25" fillId="0" borderId="0" applyFill="0">
      <alignment horizontal="left" indent="1"/>
    </xf>
    <xf numFmtId="177" fontId="14" fillId="0" borderId="0" applyFill="0"/>
    <xf numFmtId="177" fontId="14" fillId="0" borderId="0" applyFill="0"/>
    <xf numFmtId="177" fontId="14" fillId="0" borderId="0" applyNumberFormat="0" applyFont="0" applyBorder="0" applyAlignment="0"/>
    <xf numFmtId="177" fontId="14" fillId="0" borderId="0" applyNumberFormat="0" applyFont="0" applyBorder="0" applyAlignment="0"/>
    <xf numFmtId="177" fontId="25" fillId="0" borderId="0"/>
    <xf numFmtId="177" fontId="25" fillId="0" borderId="0" applyFill="0">
      <alignment horizontal="left" indent="1"/>
    </xf>
    <xf numFmtId="177" fontId="14" fillId="0" borderId="0" applyFill="0"/>
    <xf numFmtId="177" fontId="14" fillId="0" borderId="0" applyFill="0"/>
    <xf numFmtId="177" fontId="14" fillId="0" borderId="0" applyNumberFormat="0" applyFont="0" applyBorder="0" applyAlignment="0"/>
    <xf numFmtId="177" fontId="14" fillId="0" borderId="0" applyNumberFormat="0" applyFont="0" applyBorder="0" applyAlignment="0"/>
    <xf numFmtId="177" fontId="25" fillId="0" borderId="0"/>
    <xf numFmtId="177" fontId="25" fillId="0" borderId="0" applyFill="0">
      <alignment horizontal="left" indent="1"/>
    </xf>
    <xf numFmtId="177" fontId="14" fillId="0" borderId="0" applyFill="0"/>
    <xf numFmtId="177" fontId="14" fillId="0" borderId="0" applyFill="0"/>
    <xf numFmtId="177" fontId="14" fillId="0" borderId="0" applyNumberFormat="0" applyFont="0" applyFill="0" applyBorder="0" applyAlignment="0"/>
    <xf numFmtId="177" fontId="14" fillId="0" borderId="0" applyNumberFormat="0" applyFont="0" applyFill="0" applyBorder="0" applyAlignment="0"/>
    <xf numFmtId="177" fontId="25" fillId="0" borderId="0" applyFill="0"/>
    <xf numFmtId="177" fontId="25" fillId="0" borderId="0" applyFill="0">
      <alignment horizontal="left" indent="1"/>
    </xf>
    <xf numFmtId="177" fontId="30" fillId="0" borderId="53" applyNumberFormat="0" applyFill="0" applyAlignment="0" applyProtection="0"/>
    <xf numFmtId="177" fontId="238" fillId="0" borderId="0" applyNumberFormat="0" applyFill="0" applyBorder="0" applyAlignment="0" applyProtection="0"/>
    <xf numFmtId="177" fontId="239" fillId="0" borderId="14" applyNumberFormat="0" applyFill="0" applyBorder="0" applyAlignment="0" applyProtection="0">
      <protection hidden="1"/>
    </xf>
    <xf numFmtId="49" fontId="19" fillId="0" borderId="0">
      <alignment horizontal="right"/>
    </xf>
    <xf numFmtId="177" fontId="172" fillId="6" borderId="38" applyNumberFormat="0" applyAlignment="0" applyProtection="0"/>
    <xf numFmtId="177" fontId="240" fillId="87" borderId="0" applyNumberFormat="0" applyFont="0" applyBorder="0" applyAlignment="0">
      <alignment horizontal="center"/>
    </xf>
    <xf numFmtId="177" fontId="148" fillId="0" borderId="0"/>
    <xf numFmtId="177" fontId="241" fillId="0" borderId="0"/>
    <xf numFmtId="177" fontId="242" fillId="0" borderId="0"/>
    <xf numFmtId="177" fontId="243" fillId="0" borderId="0"/>
    <xf numFmtId="177" fontId="195" fillId="0" borderId="0"/>
    <xf numFmtId="177" fontId="96" fillId="8" borderId="0">
      <alignment horizontal="center"/>
    </xf>
    <xf numFmtId="49" fontId="210" fillId="56" borderId="0">
      <alignment horizontal="center"/>
    </xf>
    <xf numFmtId="177" fontId="30" fillId="0" borderId="54" applyNumberFormat="0" applyFill="0" applyAlignment="0" applyProtection="0"/>
    <xf numFmtId="177" fontId="30" fillId="0" borderId="54" applyNumberFormat="0" applyFill="0" applyAlignment="0" applyProtection="0"/>
    <xf numFmtId="177" fontId="30" fillId="0" borderId="55" applyNumberFormat="0" applyFill="0" applyAlignment="0" applyProtection="0"/>
    <xf numFmtId="177" fontId="129" fillId="0" borderId="56" applyNumberFormat="0" applyFill="0" applyBorder="0">
      <alignment horizontal="left"/>
    </xf>
    <xf numFmtId="177" fontId="23" fillId="5" borderId="21">
      <alignment horizontal="right"/>
    </xf>
    <xf numFmtId="177" fontId="23" fillId="5" borderId="0" applyBorder="0">
      <alignment horizontal="right"/>
    </xf>
    <xf numFmtId="14" fontId="94" fillId="0" borderId="0" applyNumberFormat="0" applyFill="0" applyBorder="0" applyAlignment="0" applyProtection="0">
      <alignment horizontal="left"/>
    </xf>
    <xf numFmtId="177" fontId="24" fillId="0" borderId="0" applyBorder="0"/>
    <xf numFmtId="39" fontId="24" fillId="0" borderId="0">
      <alignment vertical="center"/>
    </xf>
    <xf numFmtId="177" fontId="202" fillId="0" borderId="0" applyNumberFormat="0" applyFill="0" applyBorder="0" applyProtection="0">
      <alignment horizontal="right" vertical="center"/>
    </xf>
    <xf numFmtId="177" fontId="30" fillId="0" borderId="0" applyNumberFormat="0" applyFill="0" applyBorder="0" applyProtection="0">
      <alignment horizontal="right" vertical="center" indent="1"/>
    </xf>
    <xf numFmtId="177" fontId="244" fillId="0" borderId="0">
      <alignment vertical="center"/>
      <protection locked="0"/>
    </xf>
    <xf numFmtId="177" fontId="30" fillId="0" borderId="0" applyNumberFormat="0" applyFill="0" applyBorder="0" applyProtection="0">
      <alignment horizontal="right" vertical="center" indent="2"/>
    </xf>
    <xf numFmtId="177" fontId="30" fillId="0" borderId="0" applyNumberFormat="0" applyFill="0" applyBorder="0" applyProtection="0">
      <alignment horizontal="right" vertical="center" indent="3"/>
    </xf>
    <xf numFmtId="39" fontId="30" fillId="0" borderId="0">
      <alignment vertical="center"/>
    </xf>
    <xf numFmtId="39" fontId="24" fillId="0" borderId="0"/>
    <xf numFmtId="39" fontId="62" fillId="0" borderId="0"/>
    <xf numFmtId="38" fontId="94" fillId="0" borderId="0"/>
    <xf numFmtId="177" fontId="99" fillId="0" borderId="0" applyProtection="0"/>
    <xf numFmtId="177" fontId="137" fillId="55" borderId="0">
      <alignment horizontal="center"/>
    </xf>
    <xf numFmtId="177" fontId="137" fillId="55" borderId="0">
      <alignment horizontal="centerContinuous"/>
    </xf>
    <xf numFmtId="177" fontId="93" fillId="56" borderId="0">
      <alignment horizontal="left"/>
    </xf>
    <xf numFmtId="49" fontId="93" fillId="56" borderId="0">
      <alignment horizontal="center"/>
    </xf>
    <xf numFmtId="177" fontId="136" fillId="55" borderId="0">
      <alignment horizontal="left"/>
    </xf>
    <xf numFmtId="49" fontId="93" fillId="56" borderId="0">
      <alignment horizontal="left"/>
    </xf>
    <xf numFmtId="177" fontId="136" fillId="55" borderId="0">
      <alignment horizontal="centerContinuous"/>
    </xf>
    <xf numFmtId="177" fontId="136" fillId="55" borderId="0">
      <alignment horizontal="right"/>
    </xf>
    <xf numFmtId="49" fontId="96" fillId="56" borderId="0">
      <alignment horizontal="left"/>
    </xf>
    <xf numFmtId="177" fontId="137" fillId="55" borderId="0">
      <alignment horizontal="right"/>
    </xf>
    <xf numFmtId="177" fontId="20" fillId="0" borderId="0" applyNumberFormat="0" applyAlignment="0"/>
    <xf numFmtId="177" fontId="23" fillId="0" borderId="3">
      <alignment horizontal="center"/>
    </xf>
    <xf numFmtId="177" fontId="23" fillId="0" borderId="3">
      <alignment horizontal="center"/>
    </xf>
    <xf numFmtId="177" fontId="23" fillId="0" borderId="3">
      <protection locked="0"/>
    </xf>
    <xf numFmtId="177" fontId="23" fillId="0" borderId="0"/>
    <xf numFmtId="177" fontId="23" fillId="0" borderId="0"/>
    <xf numFmtId="177" fontId="23" fillId="0" borderId="0"/>
    <xf numFmtId="177" fontId="23" fillId="0" borderId="0"/>
    <xf numFmtId="177" fontId="23" fillId="0" borderId="0"/>
    <xf numFmtId="177" fontId="23" fillId="0" borderId="3">
      <alignment horizontal="center"/>
    </xf>
    <xf numFmtId="177" fontId="23" fillId="0" borderId="3">
      <alignment horizontal="center"/>
    </xf>
    <xf numFmtId="177" fontId="23" fillId="0" borderId="3">
      <alignment horizontal="center"/>
    </xf>
    <xf numFmtId="177" fontId="23" fillId="0" borderId="3">
      <alignment horizontal="center"/>
    </xf>
    <xf numFmtId="177" fontId="23" fillId="0" borderId="3">
      <alignment horizontal="center"/>
    </xf>
    <xf numFmtId="177" fontId="23" fillId="0" borderId="3">
      <alignment horizontal="center"/>
    </xf>
    <xf numFmtId="177" fontId="23" fillId="0" borderId="0"/>
    <xf numFmtId="177" fontId="23" fillId="0" borderId="3">
      <protection locked="0"/>
    </xf>
    <xf numFmtId="177" fontId="23" fillId="0" borderId="0"/>
    <xf numFmtId="177" fontId="23" fillId="0" borderId="0"/>
    <xf numFmtId="177" fontId="23" fillId="0" borderId="0"/>
    <xf numFmtId="177" fontId="23" fillId="0" borderId="0"/>
    <xf numFmtId="177" fontId="23" fillId="0" borderId="3">
      <alignment horizontal="center"/>
    </xf>
    <xf numFmtId="177" fontId="23" fillId="0" borderId="0"/>
    <xf numFmtId="177" fontId="23" fillId="0" borderId="3">
      <alignment horizontal="center"/>
    </xf>
    <xf numFmtId="177" fontId="23" fillId="0" borderId="0"/>
    <xf numFmtId="177" fontId="23" fillId="0" borderId="0"/>
    <xf numFmtId="177" fontId="23" fillId="0" borderId="0"/>
    <xf numFmtId="177" fontId="23" fillId="0" borderId="0"/>
    <xf numFmtId="177" fontId="23" fillId="0" borderId="3">
      <alignment horizontal="center"/>
    </xf>
    <xf numFmtId="177" fontId="23" fillId="0" borderId="0"/>
    <xf numFmtId="177" fontId="23" fillId="0" borderId="3">
      <protection locked="0"/>
    </xf>
    <xf numFmtId="177" fontId="23" fillId="0" borderId="3">
      <alignment horizontal="center"/>
    </xf>
    <xf numFmtId="177" fontId="23" fillId="0" borderId="3">
      <alignment horizontal="center"/>
    </xf>
    <xf numFmtId="177" fontId="23" fillId="0" borderId="3">
      <alignment horizontal="center"/>
    </xf>
    <xf numFmtId="177" fontId="23" fillId="0" borderId="3">
      <alignment horizontal="center"/>
    </xf>
    <xf numFmtId="177" fontId="23" fillId="0" borderId="3">
      <alignment horizontal="center"/>
    </xf>
    <xf numFmtId="177" fontId="23" fillId="0" borderId="3">
      <alignment horizontal="center"/>
    </xf>
    <xf numFmtId="177" fontId="23" fillId="0" borderId="3">
      <alignment horizontal="center"/>
    </xf>
    <xf numFmtId="177" fontId="23" fillId="0" borderId="0"/>
    <xf numFmtId="177" fontId="23" fillId="0" borderId="3">
      <alignment horizontal="center"/>
    </xf>
    <xf numFmtId="177" fontId="23" fillId="0" borderId="0"/>
    <xf numFmtId="177" fontId="23" fillId="0" borderId="0"/>
    <xf numFmtId="177" fontId="23" fillId="0" borderId="0"/>
    <xf numFmtId="177" fontId="23" fillId="0" borderId="0"/>
    <xf numFmtId="177" fontId="23" fillId="0" borderId="3">
      <protection locked="0"/>
    </xf>
    <xf numFmtId="177" fontId="23" fillId="0" borderId="3">
      <alignment horizontal="center"/>
    </xf>
    <xf numFmtId="177" fontId="23" fillId="0" borderId="0"/>
    <xf numFmtId="177" fontId="23" fillId="0" borderId="0"/>
    <xf numFmtId="177" fontId="23" fillId="0" borderId="0"/>
    <xf numFmtId="177" fontId="23" fillId="0" borderId="3">
      <alignment horizontal="center"/>
    </xf>
    <xf numFmtId="177" fontId="23" fillId="0" borderId="3">
      <alignment horizontal="center"/>
    </xf>
    <xf numFmtId="177" fontId="23" fillId="0" borderId="3">
      <alignment horizontal="center"/>
    </xf>
    <xf numFmtId="177" fontId="23" fillId="0" borderId="3">
      <alignment horizontal="center"/>
    </xf>
    <xf numFmtId="177" fontId="23" fillId="0" borderId="3">
      <alignment horizontal="center"/>
    </xf>
    <xf numFmtId="177" fontId="23" fillId="0" borderId="0"/>
    <xf numFmtId="177" fontId="23" fillId="0" borderId="0"/>
    <xf numFmtId="177" fontId="23" fillId="0" borderId="0"/>
    <xf numFmtId="177" fontId="23" fillId="0" borderId="0"/>
    <xf numFmtId="177" fontId="23" fillId="0" borderId="3">
      <alignment horizontal="center"/>
    </xf>
    <xf numFmtId="177" fontId="23" fillId="0" borderId="3">
      <protection locked="0"/>
    </xf>
    <xf numFmtId="177" fontId="23" fillId="0" borderId="0"/>
    <xf numFmtId="177" fontId="23" fillId="0" borderId="0"/>
    <xf numFmtId="177" fontId="23" fillId="0" borderId="0"/>
    <xf numFmtId="177" fontId="23" fillId="0" borderId="0"/>
    <xf numFmtId="177" fontId="23" fillId="0" borderId="0"/>
    <xf numFmtId="177" fontId="23" fillId="0" borderId="3">
      <protection locked="0"/>
    </xf>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3">
      <alignment horizontal="center"/>
    </xf>
    <xf numFmtId="177" fontId="23" fillId="0" borderId="3">
      <protection locked="0"/>
    </xf>
    <xf numFmtId="177" fontId="23" fillId="0" borderId="3">
      <protection locked="0"/>
    </xf>
    <xf numFmtId="177" fontId="23" fillId="0" borderId="3">
      <alignment horizontal="center"/>
    </xf>
    <xf numFmtId="177" fontId="23" fillId="0" borderId="0"/>
    <xf numFmtId="177" fontId="23" fillId="0" borderId="0"/>
    <xf numFmtId="177" fontId="23" fillId="0" borderId="0"/>
    <xf numFmtId="177" fontId="23" fillId="0" borderId="0"/>
    <xf numFmtId="177" fontId="23" fillId="0" borderId="3">
      <alignment horizontal="center"/>
    </xf>
    <xf numFmtId="177" fontId="23" fillId="0" borderId="3">
      <protection locked="0"/>
    </xf>
    <xf numFmtId="177" fontId="23" fillId="0" borderId="0"/>
    <xf numFmtId="177" fontId="23" fillId="0" borderId="3">
      <protection locked="0"/>
    </xf>
    <xf numFmtId="177" fontId="23" fillId="0" borderId="3">
      <alignment horizontal="center"/>
    </xf>
    <xf numFmtId="177" fontId="23" fillId="0" borderId="0"/>
    <xf numFmtId="177" fontId="23" fillId="0" borderId="3">
      <alignment horizontal="center"/>
    </xf>
    <xf numFmtId="177" fontId="23" fillId="0" borderId="3">
      <alignment horizontal="center"/>
    </xf>
    <xf numFmtId="177" fontId="23" fillId="0" borderId="3">
      <protection locked="0"/>
    </xf>
    <xf numFmtId="177" fontId="23" fillId="0" borderId="0"/>
    <xf numFmtId="177" fontId="23" fillId="0" borderId="3">
      <protection locked="0"/>
    </xf>
    <xf numFmtId="177" fontId="23" fillId="0" borderId="0"/>
    <xf numFmtId="177" fontId="23" fillId="0" borderId="3">
      <alignment horizontal="center"/>
    </xf>
    <xf numFmtId="177" fontId="23" fillId="0" borderId="3">
      <protection locked="0"/>
    </xf>
    <xf numFmtId="177" fontId="23" fillId="0" borderId="3">
      <protection locked="0"/>
    </xf>
    <xf numFmtId="177" fontId="23" fillId="0" borderId="0"/>
    <xf numFmtId="177" fontId="23" fillId="0" borderId="3">
      <alignment horizontal="center"/>
    </xf>
    <xf numFmtId="177" fontId="23" fillId="0" borderId="0"/>
    <xf numFmtId="177" fontId="23" fillId="0" borderId="0"/>
    <xf numFmtId="177" fontId="23" fillId="0" borderId="0"/>
    <xf numFmtId="177" fontId="23" fillId="0" borderId="3">
      <alignment horizontal="center"/>
    </xf>
    <xf numFmtId="177" fontId="23" fillId="0" borderId="0"/>
    <xf numFmtId="177" fontId="23" fillId="0" borderId="0"/>
    <xf numFmtId="177" fontId="23" fillId="0" borderId="0"/>
    <xf numFmtId="177" fontId="23" fillId="0" borderId="3">
      <alignment horizontal="center"/>
    </xf>
    <xf numFmtId="177" fontId="23" fillId="0" borderId="0"/>
    <xf numFmtId="177" fontId="23" fillId="0" borderId="0"/>
    <xf numFmtId="177" fontId="23" fillId="0" borderId="3">
      <protection locked="0"/>
    </xf>
    <xf numFmtId="177" fontId="23" fillId="0" borderId="3">
      <alignment horizontal="center"/>
    </xf>
    <xf numFmtId="177" fontId="23" fillId="0" borderId="0"/>
    <xf numFmtId="177" fontId="23" fillId="0" borderId="0"/>
    <xf numFmtId="177" fontId="23" fillId="0" borderId="0"/>
    <xf numFmtId="177" fontId="23" fillId="0" borderId="0"/>
    <xf numFmtId="177" fontId="23" fillId="0" borderId="0"/>
    <xf numFmtId="177" fontId="23" fillId="0" borderId="0"/>
    <xf numFmtId="177" fontId="23" fillId="0" borderId="3">
      <alignment horizontal="center"/>
    </xf>
    <xf numFmtId="177" fontId="23" fillId="0" borderId="0"/>
    <xf numFmtId="177" fontId="23" fillId="0" borderId="3">
      <alignment horizontal="center"/>
    </xf>
    <xf numFmtId="177" fontId="23" fillId="0" borderId="0"/>
    <xf numFmtId="177" fontId="23" fillId="0" borderId="3">
      <alignment horizontal="center"/>
    </xf>
    <xf numFmtId="177" fontId="23" fillId="0" borderId="3">
      <protection locked="0"/>
    </xf>
    <xf numFmtId="177" fontId="23" fillId="0" borderId="3">
      <alignment horizontal="center"/>
    </xf>
    <xf numFmtId="177" fontId="23" fillId="0" borderId="0"/>
    <xf numFmtId="177" fontId="23" fillId="0" borderId="3">
      <protection locked="0"/>
    </xf>
    <xf numFmtId="177" fontId="23" fillId="0" borderId="3">
      <alignment horizontal="center"/>
    </xf>
    <xf numFmtId="177" fontId="23" fillId="0" borderId="3">
      <protection locked="0"/>
    </xf>
    <xf numFmtId="177" fontId="23" fillId="0" borderId="0"/>
    <xf numFmtId="177" fontId="23" fillId="0" borderId="3">
      <alignment horizontal="center"/>
    </xf>
    <xf numFmtId="177" fontId="23" fillId="0" borderId="0"/>
    <xf numFmtId="177" fontId="23" fillId="0" borderId="3">
      <alignment horizontal="center"/>
    </xf>
    <xf numFmtId="177" fontId="23" fillId="0" borderId="3">
      <alignment horizontal="center"/>
    </xf>
    <xf numFmtId="177" fontId="23" fillId="0" borderId="3">
      <protection locked="0"/>
    </xf>
    <xf numFmtId="177" fontId="23" fillId="0" borderId="3">
      <alignment horizontal="center"/>
    </xf>
    <xf numFmtId="177" fontId="23" fillId="0" borderId="3">
      <alignment horizontal="center"/>
    </xf>
    <xf numFmtId="177" fontId="23" fillId="0" borderId="3">
      <protection locked="0"/>
    </xf>
    <xf numFmtId="177" fontId="23" fillId="0" borderId="3">
      <alignment horizontal="center"/>
    </xf>
    <xf numFmtId="177" fontId="23" fillId="0" borderId="0"/>
    <xf numFmtId="177" fontId="23" fillId="0" borderId="0"/>
    <xf numFmtId="177" fontId="23" fillId="0" borderId="3">
      <alignment horizontal="center"/>
    </xf>
    <xf numFmtId="177" fontId="23" fillId="0" borderId="3">
      <protection locked="0"/>
    </xf>
    <xf numFmtId="177" fontId="23" fillId="0" borderId="0"/>
    <xf numFmtId="177" fontId="23" fillId="0" borderId="3">
      <alignment horizontal="center"/>
    </xf>
    <xf numFmtId="177" fontId="23" fillId="0" borderId="3">
      <protection locked="0"/>
    </xf>
    <xf numFmtId="177" fontId="23" fillId="0" borderId="3">
      <alignment horizontal="center"/>
    </xf>
    <xf numFmtId="177" fontId="23" fillId="0" borderId="0"/>
    <xf numFmtId="177" fontId="23" fillId="0" borderId="0"/>
    <xf numFmtId="177" fontId="23" fillId="0" borderId="0"/>
    <xf numFmtId="177" fontId="23" fillId="0" borderId="0"/>
    <xf numFmtId="177" fontId="23" fillId="0" borderId="3">
      <alignment horizontal="center"/>
    </xf>
    <xf numFmtId="177" fontId="23" fillId="0" borderId="3">
      <alignment horizontal="center"/>
    </xf>
    <xf numFmtId="177" fontId="23" fillId="0" borderId="0"/>
    <xf numFmtId="177" fontId="23" fillId="0" borderId="3">
      <alignment horizontal="center"/>
    </xf>
    <xf numFmtId="177" fontId="23" fillId="0" borderId="0"/>
    <xf numFmtId="177" fontId="23" fillId="0" borderId="0"/>
    <xf numFmtId="177" fontId="23" fillId="0" borderId="3">
      <alignment horizontal="center"/>
    </xf>
    <xf numFmtId="177" fontId="23" fillId="0" borderId="0"/>
    <xf numFmtId="177" fontId="23" fillId="0" borderId="3">
      <alignment horizontal="center"/>
    </xf>
    <xf numFmtId="177" fontId="23" fillId="0" borderId="0"/>
    <xf numFmtId="177" fontId="23" fillId="0" borderId="0"/>
    <xf numFmtId="177" fontId="23" fillId="0" borderId="0"/>
    <xf numFmtId="177" fontId="23" fillId="0" borderId="0"/>
    <xf numFmtId="177" fontId="23" fillId="0" borderId="3">
      <protection locked="0"/>
    </xf>
    <xf numFmtId="177" fontId="23" fillId="0" borderId="3">
      <alignment horizontal="center"/>
    </xf>
    <xf numFmtId="177" fontId="23" fillId="0" borderId="0"/>
    <xf numFmtId="177" fontId="23" fillId="0" borderId="0"/>
    <xf numFmtId="177" fontId="23" fillId="0" borderId="0"/>
    <xf numFmtId="177" fontId="23" fillId="0" borderId="0"/>
    <xf numFmtId="177" fontId="23" fillId="0" borderId="3">
      <alignment horizontal="center"/>
    </xf>
    <xf numFmtId="177" fontId="23" fillId="0" borderId="0"/>
    <xf numFmtId="177" fontId="23" fillId="0" borderId="0"/>
    <xf numFmtId="177" fontId="23" fillId="0" borderId="0"/>
    <xf numFmtId="177" fontId="23" fillId="0" borderId="0"/>
    <xf numFmtId="177" fontId="23" fillId="0" borderId="3">
      <protection locked="0"/>
    </xf>
    <xf numFmtId="177" fontId="23" fillId="0" borderId="0"/>
    <xf numFmtId="177" fontId="23" fillId="0" borderId="0"/>
    <xf numFmtId="177" fontId="23" fillId="0" borderId="0"/>
    <xf numFmtId="177" fontId="23" fillId="0" borderId="0"/>
    <xf numFmtId="177" fontId="23" fillId="0" borderId="3">
      <protection locked="0"/>
    </xf>
    <xf numFmtId="177" fontId="23" fillId="0" borderId="3">
      <alignment horizontal="center"/>
    </xf>
    <xf numFmtId="177" fontId="23" fillId="0" borderId="0"/>
    <xf numFmtId="177" fontId="23" fillId="0" borderId="0"/>
    <xf numFmtId="177" fontId="23" fillId="0" borderId="0"/>
    <xf numFmtId="177" fontId="23" fillId="0" borderId="3">
      <protection locked="0"/>
    </xf>
    <xf numFmtId="177" fontId="23" fillId="0" borderId="3">
      <alignment horizontal="center"/>
    </xf>
    <xf numFmtId="177" fontId="23" fillId="0" borderId="3">
      <alignment horizontal="center"/>
    </xf>
    <xf numFmtId="177" fontId="23" fillId="0" borderId="3">
      <protection locked="0"/>
    </xf>
    <xf numFmtId="177" fontId="23" fillId="0" borderId="0"/>
    <xf numFmtId="177" fontId="23" fillId="0" borderId="0"/>
    <xf numFmtId="177" fontId="23" fillId="0" borderId="3">
      <protection locked="0"/>
    </xf>
    <xf numFmtId="177" fontId="23" fillId="0" borderId="3">
      <alignment horizontal="center"/>
    </xf>
    <xf numFmtId="177" fontId="23" fillId="0" borderId="0"/>
    <xf numFmtId="177" fontId="23" fillId="0" borderId="0"/>
    <xf numFmtId="177" fontId="23" fillId="0" borderId="0"/>
    <xf numFmtId="177" fontId="23" fillId="0" borderId="3">
      <alignment horizontal="center"/>
    </xf>
    <xf numFmtId="177" fontId="23" fillId="0" borderId="3">
      <alignment horizontal="center"/>
    </xf>
    <xf numFmtId="177" fontId="23" fillId="0" borderId="3">
      <alignment horizontal="center"/>
    </xf>
    <xf numFmtId="177" fontId="23" fillId="0" borderId="0"/>
    <xf numFmtId="177" fontId="23" fillId="0" borderId="3">
      <alignment horizontal="center"/>
    </xf>
    <xf numFmtId="177" fontId="23" fillId="0" borderId="0"/>
    <xf numFmtId="177" fontId="23" fillId="0" borderId="3">
      <protection locked="0"/>
    </xf>
    <xf numFmtId="177" fontId="23" fillId="0" borderId="3">
      <alignment horizontal="center"/>
    </xf>
    <xf numFmtId="177" fontId="23" fillId="0" borderId="0"/>
    <xf numFmtId="177" fontId="23" fillId="0" borderId="0"/>
    <xf numFmtId="177" fontId="23" fillId="0" borderId="0"/>
    <xf numFmtId="177" fontId="23" fillId="0" borderId="0"/>
    <xf numFmtId="177" fontId="23" fillId="0" borderId="3">
      <alignment horizontal="center"/>
    </xf>
    <xf numFmtId="177" fontId="23" fillId="0" borderId="0"/>
    <xf numFmtId="177" fontId="23" fillId="0" borderId="0"/>
    <xf numFmtId="177" fontId="23" fillId="0" borderId="0"/>
    <xf numFmtId="177" fontId="23" fillId="0" borderId="3">
      <alignment horizontal="center"/>
    </xf>
    <xf numFmtId="177" fontId="23" fillId="0" borderId="0"/>
    <xf numFmtId="177" fontId="23" fillId="0" borderId="3">
      <alignment horizontal="center"/>
    </xf>
    <xf numFmtId="177" fontId="23" fillId="0" borderId="3">
      <protection locked="0"/>
    </xf>
    <xf numFmtId="177" fontId="23" fillId="0" borderId="3">
      <protection locked="0"/>
    </xf>
    <xf numFmtId="177" fontId="23" fillId="0" borderId="3">
      <protection locked="0"/>
    </xf>
    <xf numFmtId="177" fontId="23" fillId="0" borderId="0"/>
    <xf numFmtId="177" fontId="23" fillId="0" borderId="0"/>
    <xf numFmtId="177" fontId="23" fillId="0" borderId="0"/>
    <xf numFmtId="177" fontId="23" fillId="0" borderId="0"/>
    <xf numFmtId="177" fontId="23" fillId="0" borderId="3">
      <alignment horizontal="center"/>
    </xf>
    <xf numFmtId="177" fontId="23" fillId="0" borderId="0"/>
    <xf numFmtId="177" fontId="23" fillId="0" borderId="3">
      <alignment horizontal="center"/>
    </xf>
    <xf numFmtId="177" fontId="23" fillId="0" borderId="3">
      <alignment horizontal="center"/>
    </xf>
    <xf numFmtId="177" fontId="23" fillId="0" borderId="0"/>
    <xf numFmtId="177" fontId="23" fillId="0" borderId="3">
      <protection locked="0"/>
    </xf>
    <xf numFmtId="177" fontId="23" fillId="0" borderId="3">
      <alignment horizontal="center"/>
    </xf>
    <xf numFmtId="177" fontId="23" fillId="0" borderId="3">
      <alignment horizontal="center"/>
    </xf>
    <xf numFmtId="177" fontId="245" fillId="0" borderId="57">
      <alignment vertical="center"/>
    </xf>
    <xf numFmtId="177" fontId="93" fillId="16" borderId="0">
      <alignment horizontal="center"/>
    </xf>
    <xf numFmtId="177" fontId="22" fillId="16" borderId="0">
      <alignment horizont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7" fillId="58" borderId="15"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7" fillId="58" borderId="15"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27" fillId="58" borderId="15"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30" fillId="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7" fillId="58" borderId="15"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7" fillId="58" borderId="15"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7" fillId="58" borderId="15"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246" fillId="58" borderId="30" applyNumberFormat="0" applyProtection="0">
      <alignment vertical="center"/>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27" fillId="58" borderId="15"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27" fillId="58" borderId="15"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4" fontId="30" fillId="58" borderId="30" applyNumberFormat="0" applyProtection="0">
      <alignment horizontal="left" vertical="center" indent="1"/>
    </xf>
    <xf numFmtId="177"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4" fontId="27" fillId="58" borderId="15" applyNumberFormat="0" applyProtection="0">
      <alignment horizontal="left" vertical="center"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4" fontId="27" fillId="58" borderId="15" applyNumberFormat="0" applyProtection="0">
      <alignment horizontal="left" vertical="center"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4" fontId="27" fillId="58" borderId="15" applyNumberFormat="0" applyProtection="0">
      <alignment horizontal="left" vertical="center"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4" fontId="27" fillId="58" borderId="15" applyNumberFormat="0" applyProtection="0">
      <alignment horizontal="left" vertical="center"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0" fontId="98" fillId="8" borderId="58" applyNumberFormat="0" applyProtection="0">
      <alignment horizontal="left" vertical="top" indent="1"/>
    </xf>
    <xf numFmtId="177" fontId="98" fillId="8" borderId="58" applyNumberFormat="0" applyProtection="0">
      <alignment horizontal="left" vertical="top"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27" fillId="88" borderId="15"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27" fillId="88" borderId="15"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27" fillId="88" borderId="15"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12"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27" fillId="89" borderId="15"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27" fillId="89" borderId="15"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27" fillId="89" borderId="15"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55" borderId="30"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27" fillId="91" borderId="15"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27" fillId="91" borderId="15"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27" fillId="91" borderId="15"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90" borderId="23"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27" fillId="92" borderId="15"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27" fillId="92" borderId="15"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27" fillId="92" borderId="15"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1"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27" fillId="93" borderId="15"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27" fillId="93" borderId="15"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27" fillId="93" borderId="15"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25"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27" fillId="95" borderId="15"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27" fillId="95" borderId="15"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27" fillId="95" borderId="15"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4"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27" fillId="97" borderId="15"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27" fillId="97" borderId="15"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27" fillId="97" borderId="15"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6"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27" fillId="99" borderId="15"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27" fillId="99" borderId="15"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27" fillId="99" borderId="15"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98"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27" fillId="100" borderId="15"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27" fillId="100" borderId="15"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27" fillId="100" borderId="15"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20" borderId="30" applyNumberFormat="0" applyProtection="0">
      <alignment horizontal="right" vertical="center"/>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96" fillId="102" borderId="15"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96" fillId="102" borderId="15"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96" fillId="102" borderId="15"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30" fillId="101"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7" fillId="104" borderId="59"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7" fillId="104" borderId="59"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7" fillId="104" borderId="59"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7" fillId="104" borderId="59"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27" fillId="104" borderId="59"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48" fillId="105" borderId="0"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48" fillId="105" borderId="0"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48" fillId="105" borderId="0"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48" fillId="105" borderId="0"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248" fillId="105" borderId="0"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248" fillId="105" borderId="0"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177" fontId="21" fillId="6" borderId="15"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177" fontId="21" fillId="6" borderId="15"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4" fontId="30" fillId="70" borderId="30" applyNumberFormat="0" applyProtection="0">
      <alignment horizontal="right" vertical="center"/>
    </xf>
    <xf numFmtId="177" fontId="21" fillId="6" borderId="15"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249" fillId="104" borderId="15"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249" fillId="104" borderId="15"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249" fillId="104" borderId="15"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30" fillId="106" borderId="23" applyNumberFormat="0" applyProtection="0">
      <alignment horizontal="left" vertical="center" indent="1"/>
    </xf>
    <xf numFmtId="4" fontId="250" fillId="104" borderId="15"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249" fillId="64" borderId="15"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249" fillId="64" borderId="15"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249" fillId="64" borderId="15"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30" fillId="70" borderId="23" applyNumberFormat="0" applyProtection="0">
      <alignment horizontal="left" vertical="center" indent="1"/>
    </xf>
    <xf numFmtId="4" fontId="250" fillId="64" borderId="15"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21" fillId="64" borderId="15"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21" fillId="64" borderId="15"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0"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30" fillId="48" borderId="30" applyNumberFormat="0" applyProtection="0">
      <alignment horizontal="left" vertical="center" indent="1"/>
    </xf>
    <xf numFmtId="177" fontId="14" fillId="62" borderId="15" applyNumberFormat="0" applyProtection="0">
      <alignment horizontal="left" vertical="center" indent="1"/>
    </xf>
    <xf numFmtId="177" fontId="30"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30"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21" fillId="64" borderId="15" applyNumberFormat="0" applyProtection="0">
      <alignment horizontal="left" vertical="center"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21" fillId="64" borderId="15" applyNumberFormat="0" applyProtection="0">
      <alignment horizontal="left" vertical="center"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21" fillId="64" borderId="15" applyNumberFormat="0" applyProtection="0">
      <alignment horizontal="left" vertical="center"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177"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21" fillId="64" borderId="15" applyNumberFormat="0" applyProtection="0">
      <alignment horizontal="left" vertical="center"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0"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161" fillId="103" borderId="58" applyNumberFormat="0" applyProtection="0">
      <alignment horizontal="left" vertical="top" indent="1"/>
    </xf>
    <xf numFmtId="177" fontId="21" fillId="64" borderId="15"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21" fillId="108" borderId="15"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21" fillId="108" borderId="15"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0"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30" fillId="107" borderId="30" applyNumberFormat="0" applyProtection="0">
      <alignment horizontal="left" vertical="center" indent="1"/>
    </xf>
    <xf numFmtId="177" fontId="21" fillId="108" borderId="15" applyNumberFormat="0" applyProtection="0">
      <alignment horizontal="left" vertical="center" indent="1"/>
    </xf>
    <xf numFmtId="177" fontId="30"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30"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21" fillId="108" borderId="15" applyNumberFormat="0" applyProtection="0">
      <alignment horizontal="left" vertical="center"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21" fillId="108" borderId="15" applyNumberFormat="0" applyProtection="0">
      <alignment horizontal="left" vertical="center"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21" fillId="108" borderId="15" applyNumberFormat="0" applyProtection="0">
      <alignment horizontal="left" vertical="center"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177"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21" fillId="108" borderId="15" applyNumberFormat="0" applyProtection="0">
      <alignment horizontal="left" vertical="center"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0"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161" fillId="70" borderId="58" applyNumberFormat="0" applyProtection="0">
      <alignment horizontal="left" vertical="top" indent="1"/>
    </xf>
    <xf numFmtId="177" fontId="21" fillId="108" borderId="15"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21" fillId="53" borderId="15"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21" fillId="53" borderId="15"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0"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30" fillId="18" borderId="30" applyNumberFormat="0" applyProtection="0">
      <alignment horizontal="left" vertical="center" indent="1"/>
    </xf>
    <xf numFmtId="177" fontId="21" fillId="53" borderId="15" applyNumberFormat="0" applyProtection="0">
      <alignment horizontal="left" vertical="center" indent="1"/>
    </xf>
    <xf numFmtId="177" fontId="30"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30"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21" fillId="53" borderId="15" applyNumberFormat="0" applyProtection="0">
      <alignment horizontal="left" vertical="center"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21" fillId="53" borderId="15" applyNumberFormat="0" applyProtection="0">
      <alignment horizontal="left" vertical="center"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177"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21" fillId="53" borderId="15" applyNumberFormat="0" applyProtection="0">
      <alignment horizontal="left" vertical="center"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0"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161" fillId="18" borderId="58" applyNumberFormat="0" applyProtection="0">
      <alignment horizontal="left" vertical="top" indent="1"/>
    </xf>
    <xf numFmtId="177" fontId="21" fillId="53" borderId="15" applyNumberFormat="0" applyProtection="0">
      <alignment horizontal="left" vertical="center" indent="1"/>
    </xf>
    <xf numFmtId="177"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21" fillId="6" borderId="15"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21" fillId="6" borderId="15"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21" fillId="6" borderId="15"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0" fontId="30" fillId="106" borderId="30" applyNumberFormat="0" applyProtection="0">
      <alignment horizontal="left" vertical="center" indent="1"/>
    </xf>
    <xf numFmtId="177" fontId="21" fillId="6" borderId="15" applyNumberFormat="0" applyProtection="0">
      <alignment horizontal="left" vertical="center" indent="1"/>
    </xf>
    <xf numFmtId="177" fontId="30"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30"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21" fillId="6" borderId="15" applyNumberFormat="0" applyProtection="0">
      <alignment horizontal="left" vertical="center"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21" fillId="6" borderId="15" applyNumberFormat="0" applyProtection="0">
      <alignment horizontal="left" vertical="center"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0"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161" fillId="106" borderId="58" applyNumberFormat="0" applyProtection="0">
      <alignment horizontal="left" vertical="top" indent="1"/>
    </xf>
    <xf numFmtId="177" fontId="21" fillId="6" borderId="15" applyNumberFormat="0" applyProtection="0">
      <alignment horizontal="left" vertical="center" indent="1"/>
    </xf>
    <xf numFmtId="177" fontId="30" fillId="56" borderId="60" applyNumberFormat="0">
      <protection locked="0"/>
    </xf>
    <xf numFmtId="177" fontId="161" fillId="56" borderId="60" applyNumberFormat="0">
      <protection locked="0"/>
    </xf>
    <xf numFmtId="0"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0" fontId="161" fillId="56" borderId="60" applyNumberFormat="0">
      <protection locked="0"/>
    </xf>
    <xf numFmtId="0" fontId="30"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0"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0"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 fillId="0" borderId="0"/>
    <xf numFmtId="177" fontId="161" fillId="56" borderId="60" applyNumberFormat="0">
      <protection locked="0"/>
    </xf>
    <xf numFmtId="177" fontId="161" fillId="56" borderId="60" applyNumberFormat="0">
      <protection locked="0"/>
    </xf>
    <xf numFmtId="177" fontId="161" fillId="56" borderId="60" applyNumberFormat="0">
      <protection locked="0"/>
    </xf>
    <xf numFmtId="0" fontId="1" fillId="0" borderId="0"/>
    <xf numFmtId="0"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 fillId="0" borderId="0"/>
    <xf numFmtId="177" fontId="161" fillId="56" borderId="60" applyNumberFormat="0">
      <protection locked="0"/>
    </xf>
    <xf numFmtId="177" fontId="161" fillId="56" borderId="60" applyNumberFormat="0">
      <protection locked="0"/>
    </xf>
    <xf numFmtId="177" fontId="161" fillId="56" borderId="60" applyNumberFormat="0">
      <protection locked="0"/>
    </xf>
    <xf numFmtId="0" fontId="1" fillId="0" borderId="0"/>
    <xf numFmtId="0"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 fillId="0" borderId="0"/>
    <xf numFmtId="0" fontId="1" fillId="0" borderId="0"/>
    <xf numFmtId="0"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 fillId="0" borderId="0"/>
    <xf numFmtId="0" fontId="1" fillId="0" borderId="0"/>
    <xf numFmtId="0"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0"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0"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61" fillId="56" borderId="60" applyNumberFormat="0">
      <protection locked="0"/>
    </xf>
    <xf numFmtId="177" fontId="18" fillId="103" borderId="61" applyBorder="0"/>
    <xf numFmtId="177" fontId="18" fillId="103" borderId="61" applyBorder="0"/>
    <xf numFmtId="0" fontId="18" fillId="103" borderId="61" applyBorder="0"/>
    <xf numFmtId="0" fontId="18" fillId="103" borderId="61" applyBorder="0"/>
    <xf numFmtId="0" fontId="18" fillId="103" borderId="61" applyBorder="0"/>
    <xf numFmtId="0" fontId="18" fillId="103" borderId="61" applyBorder="0"/>
    <xf numFmtId="0" fontId="18" fillId="103" borderId="61" applyBorder="0"/>
    <xf numFmtId="177" fontId="18" fillId="103" borderId="61" applyBorder="0"/>
    <xf numFmtId="0" fontId="18" fillId="103" borderId="61" applyBorder="0"/>
    <xf numFmtId="0" fontId="18" fillId="103" borderId="61" applyBorder="0"/>
    <xf numFmtId="0" fontId="18" fillId="103" borderId="61" applyBorder="0"/>
    <xf numFmtId="0" fontId="18" fillId="103" borderId="61" applyBorder="0"/>
    <xf numFmtId="0" fontId="18" fillId="103" borderId="61" applyBorder="0"/>
    <xf numFmtId="177" fontId="18" fillId="103" borderId="61" applyBorder="0"/>
    <xf numFmtId="0" fontId="18" fillId="103" borderId="61" applyBorder="0"/>
    <xf numFmtId="0" fontId="18" fillId="103" borderId="61" applyBorder="0"/>
    <xf numFmtId="0" fontId="18" fillId="103" borderId="61" applyBorder="0"/>
    <xf numFmtId="0" fontId="18" fillId="103" borderId="61" applyBorder="0"/>
    <xf numFmtId="0" fontId="18" fillId="103" borderId="61" applyBorder="0"/>
    <xf numFmtId="177" fontId="18" fillId="103" borderId="61" applyBorder="0"/>
    <xf numFmtId="0" fontId="18" fillId="103" borderId="61" applyBorder="0"/>
    <xf numFmtId="0" fontId="18" fillId="103" borderId="61" applyBorder="0"/>
    <xf numFmtId="0" fontId="18" fillId="103" borderId="61" applyBorder="0"/>
    <xf numFmtId="0" fontId="18" fillId="103" borderId="61" applyBorder="0"/>
    <xf numFmtId="0" fontId="18" fillId="103" borderId="61" applyBorder="0"/>
    <xf numFmtId="177" fontId="18" fillId="103" borderId="61" applyBorder="0"/>
    <xf numFmtId="0" fontId="18" fillId="103" borderId="61" applyBorder="0"/>
    <xf numFmtId="0" fontId="18" fillId="103" borderId="61" applyBorder="0"/>
    <xf numFmtId="0" fontId="18" fillId="103" borderId="61" applyBorder="0"/>
    <xf numFmtId="0" fontId="18" fillId="103" borderId="61" applyBorder="0"/>
    <xf numFmtId="0" fontId="18" fillId="103" borderId="61" applyBorder="0"/>
    <xf numFmtId="177" fontId="18" fillId="103" borderId="61" applyBorder="0"/>
    <xf numFmtId="0" fontId="18" fillId="103" borderId="61" applyBorder="0"/>
    <xf numFmtId="0" fontId="18" fillId="103" borderId="61" applyBorder="0"/>
    <xf numFmtId="0" fontId="18" fillId="103" borderId="61" applyBorder="0"/>
    <xf numFmtId="0" fontId="18" fillId="103" borderId="61" applyBorder="0"/>
    <xf numFmtId="0" fontId="18" fillId="103" borderId="61" applyBorder="0"/>
    <xf numFmtId="177" fontId="18" fillId="103" borderId="61" applyBorder="0"/>
    <xf numFmtId="0" fontId="18" fillId="103" borderId="61" applyBorder="0"/>
    <xf numFmtId="0" fontId="18" fillId="103" borderId="61" applyBorder="0"/>
    <xf numFmtId="0" fontId="18" fillId="103" borderId="61" applyBorder="0"/>
    <xf numFmtId="0" fontId="18" fillId="103" borderId="61" applyBorder="0"/>
    <xf numFmtId="0" fontId="18" fillId="103" borderId="61" applyBorder="0"/>
    <xf numFmtId="0" fontId="18" fillId="103" borderId="61" applyBorder="0"/>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7" fillId="73" borderId="15"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7" fillId="73" borderId="15"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27" fillId="73" borderId="15"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93" fillId="109" borderId="58"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7" fillId="73" borderId="15"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6" fillId="73" borderId="16"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7" fillId="73" borderId="15"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246" fillId="73" borderId="16" applyNumberFormat="0" applyProtection="0">
      <alignment vertical="center"/>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27" fillId="73" borderId="15"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27" fillId="73" borderId="15"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4" fontId="93" fillId="48" borderId="58" applyNumberFormat="0" applyProtection="0">
      <alignment horizontal="left" vertical="center" indent="1"/>
    </xf>
    <xf numFmtId="177"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4" fontId="27" fillId="73" borderId="15" applyNumberFormat="0" applyProtection="0">
      <alignment horizontal="left" vertical="center"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4" fontId="27" fillId="73" borderId="15" applyNumberFormat="0" applyProtection="0">
      <alignment horizontal="left" vertical="center"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4" fontId="27" fillId="73" borderId="15" applyNumberFormat="0" applyProtection="0">
      <alignment horizontal="left" vertical="center"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4" fontId="27" fillId="73" borderId="15" applyNumberFormat="0" applyProtection="0">
      <alignment horizontal="left" vertical="center"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0" fontId="93" fillId="109" borderId="58" applyNumberFormat="0" applyProtection="0">
      <alignment horizontal="left" vertical="top" indent="1"/>
    </xf>
    <xf numFmtId="177" fontId="93" fillId="109" borderId="58" applyNumberFormat="0" applyProtection="0">
      <alignment horizontal="left" vertical="top" indent="1"/>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27" fillId="104" borderId="15"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27" fillId="104" borderId="15"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27" fillId="104" borderId="15"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30" fillId="0" borderId="30" applyNumberFormat="0" applyProtection="0">
      <alignment horizontal="right" vertical="center"/>
    </xf>
    <xf numFmtId="4" fontId="27" fillId="104" borderId="15"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7" fillId="104" borderId="15"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7" fillId="104" borderId="15"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7" fillId="104" borderId="15"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6" fillId="5" borderId="30" applyNumberFormat="0" applyProtection="0">
      <alignment horizontal="right" vertical="center"/>
    </xf>
    <xf numFmtId="4" fontId="247" fillId="104" borderId="15" applyNumberFormat="0" applyProtection="0">
      <alignment horizontal="right" vertical="center"/>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0" fontId="14"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24" borderId="30" applyNumberFormat="0" applyProtection="0">
      <alignment horizontal="left" vertical="center" indent="1"/>
    </xf>
    <xf numFmtId="177" fontId="21" fillId="6" borderId="15" applyNumberFormat="0" applyProtection="0">
      <alignment horizontal="left" vertical="center" indent="1"/>
    </xf>
    <xf numFmtId="177"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21" fillId="6" borderId="15" applyNumberFormat="0" applyProtection="0">
      <alignment horizontal="left" vertical="center"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21" fillId="6" borderId="15" applyNumberFormat="0" applyProtection="0">
      <alignment horizontal="left" vertical="center"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177"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21" fillId="6" borderId="15" applyNumberFormat="0" applyProtection="0">
      <alignment horizontal="left" vertical="center"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14" fillId="110" borderId="15" applyNumberFormat="0" applyProtection="0">
      <alignment horizontal="left" vertical="top" wrapText="1"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177" fontId="252" fillId="0" borderId="0"/>
    <xf numFmtId="177" fontId="252" fillId="0" borderId="0"/>
    <xf numFmtId="177" fontId="252" fillId="0" borderId="0"/>
    <xf numFmtId="177" fontId="252" fillId="0" borderId="0"/>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177" fontId="252" fillId="0" borderId="0"/>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177" fontId="252" fillId="0" borderId="0"/>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177" fontId="252" fillId="0" borderId="0"/>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177" fontId="252" fillId="0" borderId="0"/>
    <xf numFmtId="177" fontId="252" fillId="0" borderId="0"/>
    <xf numFmtId="177" fontId="252" fillId="0" borderId="0"/>
    <xf numFmtId="177" fontId="252" fillId="0" borderId="0"/>
    <xf numFmtId="177" fontId="252" fillId="0" borderId="0"/>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177" fontId="252" fillId="0" borderId="0"/>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177" fontId="252" fillId="0" borderId="0"/>
    <xf numFmtId="177" fontId="252" fillId="0" borderId="0"/>
    <xf numFmtId="177" fontId="252" fillId="0" borderId="0"/>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177" fontId="252" fillId="0" borderId="0"/>
    <xf numFmtId="177" fontId="252" fillId="0" borderId="0"/>
    <xf numFmtId="177" fontId="252" fillId="0" borderId="0"/>
    <xf numFmtId="177" fontId="252" fillId="0" borderId="0"/>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177" fontId="252" fillId="0" borderId="0"/>
    <xf numFmtId="177" fontId="252" fillId="0" borderId="0"/>
    <xf numFmtId="177" fontId="252" fillId="0" borderId="0"/>
    <xf numFmtId="177" fontId="252" fillId="0" borderId="0"/>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4" fontId="251" fillId="74" borderId="23" applyNumberFormat="0" applyProtection="0">
      <alignment horizontal="left" vertical="center" indent="1"/>
    </xf>
    <xf numFmtId="177" fontId="252" fillId="0" borderId="0"/>
    <xf numFmtId="177" fontId="30" fillId="111" borderId="16"/>
    <xf numFmtId="177" fontId="30" fillId="111" borderId="16"/>
    <xf numFmtId="0" fontId="30" fillId="111" borderId="16"/>
    <xf numFmtId="0" fontId="30" fillId="111" borderId="16"/>
    <xf numFmtId="0" fontId="30" fillId="111" borderId="16"/>
    <xf numFmtId="0" fontId="30" fillId="111" borderId="16"/>
    <xf numFmtId="0" fontId="30" fillId="111" borderId="16"/>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38" fillId="104" borderId="15"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38" fillId="104" borderId="15"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38" fillId="104" borderId="15"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4" fontId="253" fillId="56" borderId="30" applyNumberFormat="0" applyProtection="0">
      <alignment horizontal="right" vertical="center"/>
    </xf>
    <xf numFmtId="38" fontId="254" fillId="0" borderId="62">
      <alignment horizontal="center"/>
    </xf>
    <xf numFmtId="177" fontId="255" fillId="112" borderId="0" applyBorder="0" applyProtection="0"/>
    <xf numFmtId="177" fontId="256" fillId="113" borderId="0">
      <alignment vertical="top"/>
    </xf>
    <xf numFmtId="177" fontId="257" fillId="5" borderId="63">
      <protection locked="0"/>
    </xf>
    <xf numFmtId="38" fontId="14" fillId="114" borderId="0" applyNumberFormat="0" applyFont="0" applyBorder="0" applyAlignment="0" applyProtection="0"/>
    <xf numFmtId="177" fontId="24" fillId="83" borderId="0" applyNumberFormat="0" applyFont="0" applyBorder="0" applyAlignment="0" applyProtection="0"/>
    <xf numFmtId="177" fontId="240" fillId="1" borderId="9" applyNumberFormat="0" applyFont="0" applyAlignment="0">
      <alignment horizontal="center"/>
    </xf>
    <xf numFmtId="177" fontId="240" fillId="1" borderId="9" applyNumberFormat="0" applyFont="0" applyAlignment="0">
      <alignment horizontal="center"/>
    </xf>
    <xf numFmtId="177" fontId="240" fillId="1" borderId="9" applyNumberFormat="0" applyFont="0" applyAlignment="0">
      <alignment horizontal="center"/>
    </xf>
    <xf numFmtId="177" fontId="240" fillId="1" borderId="9" applyNumberFormat="0" applyFont="0" applyAlignment="0">
      <alignment horizontal="center"/>
    </xf>
    <xf numFmtId="177" fontId="240" fillId="1" borderId="9" applyNumberFormat="0" applyFont="0" applyAlignment="0">
      <alignment horizontal="center"/>
    </xf>
    <xf numFmtId="177" fontId="240" fillId="1" borderId="9" applyNumberFormat="0" applyFont="0" applyAlignment="0">
      <alignment horizontal="center"/>
    </xf>
    <xf numFmtId="177" fontId="24" fillId="0" borderId="0"/>
    <xf numFmtId="177" fontId="258" fillId="0" borderId="0" applyNumberFormat="0" applyFill="0" applyBorder="0" applyAlignment="0" applyProtection="0"/>
    <xf numFmtId="0" fontId="258" fillId="0" borderId="0" applyNumberFormat="0" applyFill="0" applyBorder="0" applyAlignment="0" applyProtection="0"/>
    <xf numFmtId="197" fontId="259" fillId="64" borderId="0">
      <alignment horizontal="right"/>
    </xf>
    <xf numFmtId="168" fontId="77" fillId="0" borderId="0" applyFill="0" applyBorder="0" applyAlignment="0" applyProtection="0"/>
    <xf numFmtId="177" fontId="128" fillId="0" borderId="7" applyNumberFormat="0" applyFill="0" applyAlignment="0" applyProtection="0"/>
    <xf numFmtId="177" fontId="155" fillId="60" borderId="0">
      <alignment horizontal="right" vertical="center"/>
    </xf>
    <xf numFmtId="177" fontId="260" fillId="60" borderId="0">
      <alignment horizontal="right" vertical="center"/>
    </xf>
    <xf numFmtId="177" fontId="260" fillId="115" borderId="0">
      <alignment horizontal="right" vertical="center"/>
    </xf>
    <xf numFmtId="177" fontId="48" fillId="60" borderId="0">
      <alignment horizontal="right" vertical="center"/>
    </xf>
    <xf numFmtId="167" fontId="261" fillId="0" borderId="0" applyNumberFormat="0" applyFill="0" applyBorder="0" applyAlignment="0" applyProtection="0"/>
    <xf numFmtId="38" fontId="128" fillId="0" borderId="7">
      <alignment horizontal="right"/>
    </xf>
    <xf numFmtId="177" fontId="14" fillId="0" borderId="0" applyFont="0" applyFill="0" applyBorder="0" applyAlignment="0" applyProtection="0"/>
    <xf numFmtId="177" fontId="14" fillId="0" borderId="0" applyFont="0" applyFill="0" applyBorder="0" applyAlignment="0" applyProtection="0"/>
    <xf numFmtId="177" fontId="262" fillId="0" borderId="0" applyNumberFormat="0">
      <alignment horizontal="left"/>
    </xf>
    <xf numFmtId="177" fontId="263" fillId="0" borderId="7"/>
    <xf numFmtId="3" fontId="30" fillId="0" borderId="0"/>
    <xf numFmtId="177" fontId="14" fillId="0" borderId="0"/>
    <xf numFmtId="177" fontId="264" fillId="0" borderId="0" applyNumberFormat="0" applyFill="0" applyBorder="0" applyAlignment="0">
      <alignment horizontal="center"/>
    </xf>
    <xf numFmtId="177" fontId="58" fillId="0" borderId="0"/>
    <xf numFmtId="177" fontId="35" fillId="69" borderId="0"/>
    <xf numFmtId="177" fontId="35" fillId="0" borderId="0"/>
    <xf numFmtId="177" fontId="35" fillId="0" borderId="0"/>
    <xf numFmtId="177" fontId="35" fillId="116" borderId="0"/>
    <xf numFmtId="177" fontId="35" fillId="116" borderId="0"/>
    <xf numFmtId="3" fontId="19" fillId="0" borderId="0"/>
    <xf numFmtId="177" fontId="21" fillId="0" borderId="0">
      <alignment vertical="top"/>
    </xf>
    <xf numFmtId="177" fontId="18" fillId="0" borderId="52" applyNumberFormat="0" applyFill="0" applyProtection="0"/>
    <xf numFmtId="177" fontId="129" fillId="0" borderId="0" applyNumberFormat="0" applyFill="0" applyBorder="0" applyProtection="0"/>
    <xf numFmtId="177" fontId="18" fillId="0" borderId="52" applyNumberFormat="0" applyFill="0" applyProtection="0">
      <alignment horizontal="center" wrapText="1"/>
    </xf>
    <xf numFmtId="177" fontId="18" fillId="0" borderId="0" applyNumberFormat="0" applyFill="0" applyBorder="0" applyProtection="0">
      <alignment horizontal="center"/>
    </xf>
    <xf numFmtId="177" fontId="18" fillId="0" borderId="0" applyNumberFormat="0" applyFill="0" applyBorder="0" applyProtection="0"/>
    <xf numFmtId="177" fontId="21" fillId="0" borderId="0">
      <alignment vertical="top"/>
    </xf>
    <xf numFmtId="177" fontId="21" fillId="0" borderId="0">
      <alignment vertical="top"/>
    </xf>
    <xf numFmtId="177" fontId="21" fillId="0" borderId="0">
      <alignment vertical="top"/>
    </xf>
    <xf numFmtId="177" fontId="19" fillId="0" borderId="0">
      <alignment vertical="top"/>
    </xf>
    <xf numFmtId="177" fontId="19" fillId="0" borderId="0">
      <alignment vertical="top"/>
    </xf>
    <xf numFmtId="177" fontId="21" fillId="0" borderId="0">
      <alignment vertical="top"/>
    </xf>
    <xf numFmtId="177" fontId="21" fillId="0" borderId="0">
      <alignment vertical="top"/>
    </xf>
    <xf numFmtId="177" fontId="19" fillId="0" borderId="0">
      <alignment vertical="top"/>
    </xf>
    <xf numFmtId="177" fontId="19" fillId="0" borderId="0">
      <alignment vertical="top"/>
    </xf>
    <xf numFmtId="177" fontId="24" fillId="0" borderId="0">
      <alignment vertical="top"/>
    </xf>
    <xf numFmtId="177" fontId="265" fillId="0" borderId="0" applyNumberFormat="0" applyFill="0" applyBorder="0" applyProtection="0"/>
    <xf numFmtId="177" fontId="256" fillId="113" borderId="0" applyNumberFormat="0" applyBorder="0" applyProtection="0"/>
    <xf numFmtId="177" fontId="98" fillId="83" borderId="0" applyNumberFormat="0" applyBorder="0" applyProtection="0"/>
    <xf numFmtId="1" fontId="30" fillId="0" borderId="0" applyFill="0" applyBorder="0" applyProtection="0">
      <alignment horizontal="left" vertical="top" wrapText="1"/>
    </xf>
    <xf numFmtId="177" fontId="98" fillId="0" borderId="0" applyNumberFormat="0" applyFill="0" applyBorder="0" applyProtection="0"/>
    <xf numFmtId="177" fontId="266" fillId="0" borderId="0" applyNumberFormat="0" applyFill="0" applyBorder="0" applyProtection="0"/>
    <xf numFmtId="177" fontId="98" fillId="0" borderId="0" applyNumberFormat="0" applyFill="0" applyBorder="0" applyProtection="0">
      <alignment wrapText="1"/>
    </xf>
    <xf numFmtId="177" fontId="267" fillId="0" borderId="0" applyNumberFormat="0" applyFill="0" applyBorder="0" applyProtection="0"/>
    <xf numFmtId="177" fontId="30" fillId="0" borderId="0" applyNumberFormat="0" applyFill="0" applyBorder="0" applyProtection="0">
      <alignment horizontal="left"/>
    </xf>
    <xf numFmtId="177" fontId="24" fillId="0" borderId="0">
      <alignment vertical="top"/>
    </xf>
    <xf numFmtId="177" fontId="30" fillId="0" borderId="0" applyNumberFormat="0" applyFill="0" applyBorder="0" applyProtection="0">
      <alignment horizontal="right"/>
    </xf>
    <xf numFmtId="177" fontId="30" fillId="0" borderId="0" applyNumberFormat="0" applyFill="0" applyBorder="0" applyProtection="0">
      <alignment horizontal="center" vertical="top" wrapText="1"/>
    </xf>
    <xf numFmtId="3" fontId="30" fillId="0" borderId="0" applyFill="0" applyBorder="0" applyProtection="0">
      <alignment horizontal="left"/>
    </xf>
    <xf numFmtId="4" fontId="30" fillId="0" borderId="0" applyFill="0" applyBorder="0" applyProtection="0">
      <alignment horizontal="left"/>
    </xf>
    <xf numFmtId="4" fontId="30" fillId="0" borderId="0" applyFill="0" applyBorder="0" applyProtection="0">
      <alignment horizontal="left"/>
    </xf>
    <xf numFmtId="1" fontId="30" fillId="0" borderId="0" applyFill="0" applyBorder="0" applyProtection="0">
      <alignment horizontal="left"/>
    </xf>
    <xf numFmtId="177" fontId="30" fillId="0" borderId="0" applyNumberFormat="0" applyFill="0" applyBorder="0" applyProtection="0">
      <alignment horizontal="center" wrapText="1"/>
    </xf>
    <xf numFmtId="177" fontId="18" fillId="0" borderId="0" applyNumberFormat="0" applyFill="0" applyBorder="0" applyProtection="0">
      <alignment horizontal="left" vertical="top" wrapText="1"/>
    </xf>
    <xf numFmtId="177" fontId="18" fillId="0" borderId="0" applyNumberFormat="0" applyFill="0" applyBorder="0" applyProtection="0">
      <alignment horizontal="left" wrapText="1"/>
    </xf>
    <xf numFmtId="177" fontId="18" fillId="0" borderId="0" applyNumberFormat="0" applyFill="0" applyBorder="0" applyProtection="0">
      <alignment horizontal="left"/>
    </xf>
    <xf numFmtId="177" fontId="21" fillId="0" borderId="0"/>
    <xf numFmtId="177" fontId="18" fillId="0" borderId="0" applyNumberFormat="0" applyFill="0" applyBorder="0" applyProtection="0">
      <alignment horizontal="right" vertical="top" wrapText="1"/>
    </xf>
    <xf numFmtId="177" fontId="18" fillId="0" borderId="0" applyNumberFormat="0" applyFill="0" applyBorder="0" applyProtection="0">
      <alignment horizontal="right" wrapText="1"/>
    </xf>
    <xf numFmtId="177" fontId="18" fillId="0" borderId="0" applyNumberFormat="0" applyFill="0" applyBorder="0" applyProtection="0">
      <alignment horizontal="center" vertical="top" wrapText="1"/>
    </xf>
    <xf numFmtId="177" fontId="18" fillId="0" borderId="0" applyNumberFormat="0" applyFill="0" applyBorder="0" applyProtection="0">
      <alignment horizontal="center" wrapText="1"/>
    </xf>
    <xf numFmtId="177" fontId="268" fillId="0" borderId="0" applyNumberFormat="0" applyFill="0" applyBorder="0" applyProtection="0">
      <alignment horizontal="left" vertical="top" wrapText="1"/>
    </xf>
    <xf numFmtId="4" fontId="268" fillId="0" borderId="0" applyFill="0" applyBorder="0" applyProtection="0">
      <alignment horizontal="left" vertical="top" wrapText="1"/>
    </xf>
    <xf numFmtId="177" fontId="268" fillId="0" borderId="0" applyNumberFormat="0" applyFill="0" applyBorder="0" applyProtection="0">
      <alignment horizontal="left" wrapText="1"/>
    </xf>
    <xf numFmtId="177" fontId="268" fillId="0" borderId="0" applyNumberFormat="0" applyFill="0" applyBorder="0" applyProtection="0">
      <alignment horizontal="right" vertical="top" wrapText="1"/>
    </xf>
    <xf numFmtId="177" fontId="268" fillId="0" borderId="0" applyNumberFormat="0" applyFill="0" applyBorder="0" applyProtection="0">
      <alignment horizontal="right" wrapText="1"/>
    </xf>
    <xf numFmtId="177" fontId="268" fillId="0" borderId="0" applyNumberFormat="0" applyFill="0" applyBorder="0" applyProtection="0">
      <alignment horizontal="center" vertical="top" wrapText="1"/>
    </xf>
    <xf numFmtId="177" fontId="19" fillId="0" borderId="0">
      <alignment vertical="top"/>
    </xf>
    <xf numFmtId="177" fontId="268" fillId="0" borderId="0" applyNumberFormat="0" applyFill="0" applyBorder="0" applyProtection="0">
      <alignment horizontal="center" wrapText="1"/>
    </xf>
    <xf numFmtId="177" fontId="18" fillId="0" borderId="7" applyNumberFormat="0" applyFill="0" applyProtection="0">
      <alignment horizontal="right" wrapText="1"/>
    </xf>
    <xf numFmtId="177" fontId="269" fillId="0" borderId="0" applyNumberFormat="0" applyFill="0" applyBorder="0" applyProtection="0">
      <alignment horizontal="left" vertical="top" wrapText="1"/>
    </xf>
    <xf numFmtId="177" fontId="269" fillId="0" borderId="0" applyNumberFormat="0" applyFill="0" applyBorder="0" applyProtection="0">
      <alignment horizontal="left" wrapText="1"/>
    </xf>
    <xf numFmtId="177" fontId="269" fillId="0" borderId="0" applyNumberFormat="0" applyFill="0" applyBorder="0" applyProtection="0">
      <alignment horizontal="right" vertical="top" wrapText="1"/>
    </xf>
    <xf numFmtId="177" fontId="269" fillId="0" borderId="0" applyNumberFormat="0" applyFill="0" applyBorder="0" applyProtection="0">
      <alignment horizontal="right" wrapText="1"/>
    </xf>
    <xf numFmtId="177" fontId="269" fillId="0" borderId="0" applyNumberFormat="0" applyFill="0" applyBorder="0" applyProtection="0">
      <alignment horizontal="center" vertical="top" wrapText="1"/>
    </xf>
    <xf numFmtId="177" fontId="269" fillId="0" borderId="0" applyNumberFormat="0" applyFill="0" applyBorder="0" applyProtection="0">
      <alignment horizontal="center" wrapText="1"/>
    </xf>
    <xf numFmtId="177" fontId="270" fillId="0" borderId="0" applyNumberFormat="0" applyFill="0" applyBorder="0" applyProtection="0">
      <alignment horizontal="left" vertical="top" wrapText="1"/>
    </xf>
    <xf numFmtId="177" fontId="137" fillId="82" borderId="0" applyNumberFormat="0" applyBorder="0" applyProtection="0">
      <alignment horizontal="left" wrapText="1"/>
    </xf>
    <xf numFmtId="177" fontId="21" fillId="0" borderId="0">
      <alignment vertical="top"/>
    </xf>
    <xf numFmtId="177" fontId="137" fillId="82" borderId="0" applyNumberFormat="0" applyBorder="0" applyProtection="0">
      <alignment horizontal="left"/>
    </xf>
    <xf numFmtId="177" fontId="137" fillId="82" borderId="0" applyNumberFormat="0" applyBorder="0" applyProtection="0">
      <alignment horizontal="right"/>
    </xf>
    <xf numFmtId="177" fontId="98" fillId="83" borderId="0" applyNumberFormat="0" applyBorder="0" applyProtection="0">
      <alignment vertical="top" wrapText="1"/>
    </xf>
    <xf numFmtId="177" fontId="98" fillId="83" borderId="0" applyBorder="0" applyProtection="0">
      <alignment vertical="top" wrapText="1"/>
    </xf>
    <xf numFmtId="4" fontId="30" fillId="0" borderId="0" applyFill="0" applyBorder="0" applyProtection="0">
      <alignment horizontal="left" vertical="top"/>
    </xf>
    <xf numFmtId="177" fontId="30" fillId="0" borderId="0" applyFill="0" applyBorder="0" applyProtection="0">
      <alignment horizontal="right"/>
    </xf>
    <xf numFmtId="3" fontId="30" fillId="0" borderId="0" applyFill="0" applyBorder="0" applyProtection="0">
      <alignment horizontal="right"/>
    </xf>
    <xf numFmtId="3" fontId="30" fillId="0" borderId="0" applyFill="0" applyBorder="0" applyProtection="0">
      <alignment horizontal="center"/>
    </xf>
    <xf numFmtId="177" fontId="30" fillId="0" borderId="0" applyFill="0" applyBorder="0" applyProtection="0">
      <alignment horizontal="right"/>
    </xf>
    <xf numFmtId="177" fontId="18" fillId="0" borderId="0" applyFill="0" applyBorder="0" applyProtection="0">
      <alignment horizontal="right"/>
    </xf>
    <xf numFmtId="177" fontId="19" fillId="0" borderId="0">
      <alignment vertical="top"/>
    </xf>
    <xf numFmtId="177" fontId="269" fillId="0" borderId="0" applyFill="0" applyBorder="0" applyProtection="0">
      <alignment horizontal="right"/>
    </xf>
    <xf numFmtId="177" fontId="270" fillId="0" borderId="0" applyFill="0" applyBorder="0" applyProtection="0">
      <alignment horizontal="right"/>
    </xf>
    <xf numFmtId="4" fontId="18" fillId="0" borderId="0" applyFill="0" applyBorder="0" applyProtection="0">
      <alignment horizontal="right"/>
    </xf>
    <xf numFmtId="4" fontId="269" fillId="0" borderId="0" applyFill="0" applyBorder="0" applyProtection="0">
      <alignment horizontal="right"/>
    </xf>
    <xf numFmtId="4" fontId="270" fillId="0" borderId="0" applyFill="0" applyBorder="0" applyProtection="0">
      <alignment horizontal="right"/>
    </xf>
    <xf numFmtId="177" fontId="30" fillId="0" borderId="0" applyFill="0" applyBorder="0" applyProtection="0">
      <alignment horizontal="right" vertical="top" wrapText="1"/>
    </xf>
    <xf numFmtId="177" fontId="30" fillId="0" borderId="0" applyFill="0" applyBorder="0" applyProtection="0">
      <alignment horizontal="center" vertical="top" wrapText="1"/>
    </xf>
    <xf numFmtId="177" fontId="107" fillId="0" borderId="52" applyNumberFormat="0" applyFill="0" applyProtection="0">
      <alignment horizontal="left" vertical="top"/>
    </xf>
    <xf numFmtId="4" fontId="30" fillId="0" borderId="0" applyFill="0" applyBorder="0" applyProtection="0">
      <alignment horizontal="left"/>
    </xf>
    <xf numFmtId="4" fontId="30" fillId="0" borderId="0" applyFill="0" applyBorder="0" applyProtection="0">
      <alignment horizontal="right"/>
    </xf>
    <xf numFmtId="177" fontId="21" fillId="0" borderId="0">
      <alignment vertical="top"/>
    </xf>
    <xf numFmtId="4" fontId="18" fillId="0" borderId="0" applyFill="0" applyBorder="0" applyProtection="0">
      <alignment horizontal="right"/>
    </xf>
    <xf numFmtId="4" fontId="30" fillId="0" borderId="0" applyFill="0" applyBorder="0" applyProtection="0">
      <alignment horizontal="center"/>
    </xf>
    <xf numFmtId="177" fontId="30" fillId="0" borderId="0" applyFill="0" applyBorder="0" applyProtection="0">
      <alignment horizontal="right"/>
    </xf>
    <xf numFmtId="177" fontId="30" fillId="0" borderId="0" applyFill="0" applyBorder="0" applyProtection="0">
      <alignment horizontal="right"/>
    </xf>
    <xf numFmtId="177" fontId="30" fillId="0" borderId="0" applyFill="0" applyBorder="0" applyProtection="0">
      <alignment horizontal="right"/>
    </xf>
    <xf numFmtId="177" fontId="30" fillId="0" borderId="0" applyFill="0" applyBorder="0" applyProtection="0">
      <alignment horizontal="right"/>
    </xf>
    <xf numFmtId="177" fontId="30" fillId="0" borderId="0" applyFill="0" applyBorder="0" applyProtection="0">
      <alignment horizontal="right"/>
    </xf>
    <xf numFmtId="177" fontId="30" fillId="0" borderId="0" applyFill="0" applyBorder="0" applyProtection="0">
      <alignment horizontal="right"/>
    </xf>
    <xf numFmtId="177" fontId="30" fillId="0" borderId="0" applyFill="0" applyBorder="0" applyProtection="0">
      <alignment horizontal="right"/>
    </xf>
    <xf numFmtId="177" fontId="30" fillId="0" borderId="0" applyFill="0" applyBorder="0" applyProtection="0">
      <alignment horizontal="right"/>
    </xf>
    <xf numFmtId="177" fontId="21" fillId="0" borderId="0">
      <alignment vertical="top"/>
    </xf>
    <xf numFmtId="177" fontId="30" fillId="0" borderId="0" applyFill="0" applyBorder="0" applyProtection="0">
      <alignment horizontal="right"/>
    </xf>
    <xf numFmtId="4" fontId="30" fillId="0" borderId="0" applyFill="0" applyBorder="0" applyProtection="0">
      <alignment horizontal="center"/>
    </xf>
    <xf numFmtId="177" fontId="30" fillId="0" borderId="0" applyFill="0" applyBorder="0" applyProtection="0">
      <alignment horizontal="center"/>
    </xf>
    <xf numFmtId="177" fontId="30" fillId="0" borderId="0" applyNumberFormat="0" applyFill="0" applyBorder="0" applyProtection="0">
      <alignment horizontal="left" vertical="top" wrapText="1"/>
    </xf>
    <xf numFmtId="177" fontId="271" fillId="0" borderId="0" applyFill="0" applyBorder="0" applyProtection="0">
      <alignment horizontal="right"/>
    </xf>
    <xf numFmtId="177" fontId="271" fillId="0" borderId="0" applyFill="0" applyBorder="0" applyProtection="0">
      <alignment horizontal="right"/>
    </xf>
    <xf numFmtId="177" fontId="271" fillId="0" borderId="0" applyFill="0" applyBorder="0" applyProtection="0">
      <alignment horizontal="right"/>
    </xf>
    <xf numFmtId="177" fontId="271" fillId="0" borderId="0" applyFill="0" applyBorder="0" applyProtection="0">
      <alignment horizontal="right"/>
    </xf>
    <xf numFmtId="14" fontId="271" fillId="0" borderId="0" applyFill="0" applyBorder="0" applyProtection="0">
      <alignment horizontal="right"/>
    </xf>
    <xf numFmtId="177" fontId="153" fillId="0" borderId="0" applyNumberFormat="0" applyFill="0" applyBorder="0" applyProtection="0">
      <alignment horizontal="left"/>
    </xf>
    <xf numFmtId="177" fontId="27" fillId="0" borderId="0" applyNumberFormat="0" applyBorder="0" applyAlignment="0"/>
    <xf numFmtId="177" fontId="272" fillId="0" borderId="0" applyNumberFormat="0" applyBorder="0" applyAlignment="0"/>
    <xf numFmtId="177" fontId="273" fillId="0" borderId="0" applyNumberFormat="0" applyBorder="0" applyAlignment="0"/>
    <xf numFmtId="177" fontId="96" fillId="0" borderId="0" applyNumberFormat="0" applyBorder="0" applyAlignment="0"/>
    <xf numFmtId="177" fontId="274" fillId="0" borderId="0" applyNumberFormat="0" applyBorder="0" applyAlignment="0"/>
    <xf numFmtId="177" fontId="275" fillId="0" borderId="0" applyNumberFormat="0" applyBorder="0" applyAlignment="0"/>
    <xf numFmtId="177" fontId="276" fillId="8" borderId="0" applyNumberFormat="0" applyBorder="0" applyAlignment="0"/>
    <xf numFmtId="177" fontId="276" fillId="13" borderId="0" applyNumberFormat="0" applyBorder="0" applyAlignment="0"/>
    <xf numFmtId="177" fontId="276" fillId="15" borderId="0" applyNumberFormat="0" applyBorder="0" applyAlignment="0"/>
    <xf numFmtId="177" fontId="277" fillId="117" borderId="0"/>
    <xf numFmtId="177" fontId="277" fillId="117" borderId="0"/>
    <xf numFmtId="177" fontId="277" fillId="117" borderId="0"/>
    <xf numFmtId="177" fontId="277" fillId="117" borderId="0"/>
    <xf numFmtId="177" fontId="277" fillId="117" borderId="0"/>
    <xf numFmtId="177" fontId="277" fillId="117" borderId="0"/>
    <xf numFmtId="177" fontId="277" fillId="117" borderId="0"/>
    <xf numFmtId="177" fontId="277" fillId="117" borderId="0"/>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278" fillId="0" borderId="0" applyFill="0" applyBorder="0" applyAlignment="0" applyProtection="0"/>
    <xf numFmtId="177" fontId="21" fillId="0" borderId="0"/>
    <xf numFmtId="177" fontId="112" fillId="0" borderId="0"/>
    <xf numFmtId="177" fontId="279" fillId="0" borderId="0"/>
    <xf numFmtId="177" fontId="3" fillId="0" borderId="0" applyFill="0" applyBorder="0" applyAlignment="0" applyProtection="0"/>
    <xf numFmtId="177" fontId="280" fillId="0" borderId="0"/>
    <xf numFmtId="177" fontId="281" fillId="0" borderId="0"/>
    <xf numFmtId="40" fontId="282" fillId="0" borderId="0" applyBorder="0">
      <alignment horizontal="right"/>
    </xf>
    <xf numFmtId="177" fontId="283" fillId="0" borderId="0" applyFill="0" applyBorder="0" applyAlignment="0" applyProtection="0"/>
    <xf numFmtId="194" fontId="284" fillId="0" borderId="56"/>
    <xf numFmtId="0" fontId="284" fillId="0" borderId="56"/>
    <xf numFmtId="177" fontId="97" fillId="0" borderId="7" applyNumberFormat="0" applyFill="0" applyBorder="0"/>
    <xf numFmtId="177" fontId="18" fillId="53" borderId="0" applyNumberFormat="0" applyFont="0" applyBorder="0" applyAlignment="0" applyProtection="0"/>
    <xf numFmtId="177" fontId="285" fillId="0" borderId="0"/>
    <xf numFmtId="1" fontId="286" fillId="0" borderId="0">
      <alignment horizontal="left"/>
    </xf>
    <xf numFmtId="176" fontId="72" fillId="0" borderId="0"/>
    <xf numFmtId="177" fontId="62" fillId="0" borderId="0">
      <alignment horizontal="center"/>
    </xf>
    <xf numFmtId="176" fontId="72" fillId="0" borderId="0"/>
    <xf numFmtId="176" fontId="72" fillId="0" borderId="0"/>
    <xf numFmtId="177" fontId="62" fillId="0" borderId="0">
      <alignment horizontal="center"/>
    </xf>
    <xf numFmtId="176" fontId="72" fillId="0" borderId="0"/>
    <xf numFmtId="176" fontId="72" fillId="0" borderId="0"/>
    <xf numFmtId="176" fontId="72" fillId="0" borderId="0"/>
    <xf numFmtId="176" fontId="72" fillId="0" borderId="0"/>
    <xf numFmtId="176" fontId="72" fillId="0" borderId="0"/>
    <xf numFmtId="176" fontId="72" fillId="0" borderId="0"/>
    <xf numFmtId="176" fontId="72" fillId="0" borderId="0"/>
    <xf numFmtId="177" fontId="287" fillId="0" borderId="64" applyNumberFormat="0" applyFont="0"/>
    <xf numFmtId="177" fontId="20" fillId="0" borderId="0" applyFill="0" applyBorder="0" applyProtection="0">
      <alignment horizontal="center" vertical="center"/>
    </xf>
    <xf numFmtId="177" fontId="288" fillId="0" borderId="0" applyBorder="0" applyProtection="0">
      <alignment vertical="center"/>
    </xf>
    <xf numFmtId="177" fontId="3" fillId="0" borderId="7" applyBorder="0" applyProtection="0">
      <alignment horizontal="right" vertical="center"/>
    </xf>
    <xf numFmtId="177" fontId="289" fillId="118" borderId="0" applyBorder="0" applyProtection="0">
      <alignment horizontal="centerContinuous" vertical="center"/>
    </xf>
    <xf numFmtId="177" fontId="289" fillId="61" borderId="7" applyBorder="0" applyProtection="0">
      <alignment horizontal="centerContinuous" vertical="center"/>
    </xf>
    <xf numFmtId="177" fontId="204" fillId="0" borderId="0"/>
    <xf numFmtId="177" fontId="20" fillId="0" borderId="0" applyFill="0" applyBorder="0" applyProtection="0"/>
    <xf numFmtId="177" fontId="290" fillId="0" borderId="0" applyNumberFormat="0">
      <alignment horizontal="left"/>
    </xf>
    <xf numFmtId="177" fontId="219" fillId="0" borderId="0"/>
    <xf numFmtId="177" fontId="291" fillId="0" borderId="0" applyFill="0" applyBorder="0" applyProtection="0">
      <alignment horizontal="left"/>
    </xf>
    <xf numFmtId="177" fontId="292" fillId="0" borderId="56" applyFill="0" applyBorder="0" applyProtection="0">
      <alignment horizontal="left" vertical="top"/>
    </xf>
    <xf numFmtId="177" fontId="62" fillId="0" borderId="0">
      <alignment horizontal="centerContinuous"/>
    </xf>
    <xf numFmtId="177" fontId="93" fillId="5" borderId="5" applyNumberFormat="0" applyFont="0" applyFill="0" applyAlignment="0" applyProtection="0">
      <protection locked="0"/>
    </xf>
    <xf numFmtId="177" fontId="93" fillId="5" borderId="5" applyNumberFormat="0" applyFont="0" applyFill="0" applyAlignment="0" applyProtection="0">
      <protection locked="0"/>
    </xf>
    <xf numFmtId="177" fontId="93" fillId="5" borderId="5" applyNumberFormat="0" applyFont="0" applyFill="0" applyAlignment="0" applyProtection="0">
      <protection locked="0"/>
    </xf>
    <xf numFmtId="177" fontId="93" fillId="5" borderId="5" applyNumberFormat="0" applyFont="0" applyFill="0" applyAlignment="0" applyProtection="0">
      <protection locked="0"/>
    </xf>
    <xf numFmtId="177" fontId="93" fillId="5" borderId="5" applyNumberFormat="0" applyFont="0" applyFill="0" applyAlignment="0" applyProtection="0">
      <protection locked="0"/>
    </xf>
    <xf numFmtId="177" fontId="93" fillId="5" borderId="5" applyNumberFormat="0" applyFont="0" applyFill="0" applyAlignment="0" applyProtection="0">
      <protection locked="0"/>
    </xf>
    <xf numFmtId="177" fontId="93" fillId="5" borderId="5" applyNumberFormat="0" applyFont="0" applyFill="0" applyAlignment="0" applyProtection="0">
      <protection locked="0"/>
    </xf>
    <xf numFmtId="177" fontId="93" fillId="5" borderId="5" applyNumberFormat="0" applyFont="0" applyFill="0" applyAlignment="0" applyProtection="0">
      <protection locked="0"/>
    </xf>
    <xf numFmtId="177" fontId="93" fillId="5" borderId="5" applyNumberFormat="0" applyFont="0" applyFill="0" applyAlignment="0" applyProtection="0">
      <protection locked="0"/>
    </xf>
    <xf numFmtId="177" fontId="93" fillId="5" borderId="5" applyNumberFormat="0" applyFont="0" applyFill="0" applyAlignment="0" applyProtection="0">
      <protection locked="0"/>
    </xf>
    <xf numFmtId="177" fontId="93" fillId="5" borderId="5" applyNumberFormat="0" applyFont="0" applyFill="0" applyAlignment="0" applyProtection="0">
      <protection locked="0"/>
    </xf>
    <xf numFmtId="177" fontId="93" fillId="5" borderId="5" applyNumberFormat="0" applyFont="0" applyFill="0" applyAlignment="0" applyProtection="0">
      <protection locked="0"/>
    </xf>
    <xf numFmtId="177" fontId="3" fillId="0" borderId="0" applyNumberFormat="0" applyFill="0" applyBorder="0">
      <alignment horizontal="left"/>
    </xf>
    <xf numFmtId="177" fontId="293" fillId="0" borderId="0" applyFill="0" applyBorder="0" applyProtection="0">
      <alignment horizontal="center" vertical="center"/>
    </xf>
    <xf numFmtId="177" fontId="93" fillId="5" borderId="65" applyNumberFormat="0" applyFont="0" applyFill="0" applyAlignment="0" applyProtection="0">
      <protection locked="0"/>
    </xf>
    <xf numFmtId="177" fontId="294" fillId="0" borderId="0"/>
    <xf numFmtId="177" fontId="181" fillId="0" borderId="0" applyNumberFormat="0" applyBorder="0">
      <alignment horizontal="left"/>
    </xf>
    <xf numFmtId="177" fontId="295" fillId="0" borderId="0" applyFill="0" applyBorder="0" applyProtection="0">
      <alignment vertical="top"/>
    </xf>
    <xf numFmtId="177" fontId="66" fillId="0" borderId="0" applyFill="0" applyBorder="0" applyProtection="0">
      <alignment vertical="center"/>
    </xf>
    <xf numFmtId="177" fontId="97" fillId="0" borderId="0" applyFill="0" applyBorder="0" applyProtection="0"/>
    <xf numFmtId="177" fontId="21" fillId="0" borderId="0"/>
    <xf numFmtId="177" fontId="30" fillId="0" borderId="2" applyNumberFormat="0" applyFill="0" applyAlignment="0" applyProtection="0"/>
    <xf numFmtId="177" fontId="30" fillId="0" borderId="2" applyNumberFormat="0" applyFill="0" applyAlignment="0" applyProtection="0"/>
    <xf numFmtId="177" fontId="62" fillId="0" borderId="0">
      <alignment horizontal="center" vertical="center"/>
    </xf>
    <xf numFmtId="177" fontId="30" fillId="0" borderId="0" applyNumberFormat="0" applyAlignment="0" applyProtection="0"/>
    <xf numFmtId="164" fontId="296" fillId="0" borderId="0"/>
    <xf numFmtId="49" fontId="27" fillId="0" borderId="0" applyFont="0" applyFill="0" applyBorder="0" applyAlignment="0" applyProtection="0"/>
    <xf numFmtId="177" fontId="297" fillId="0" borderId="0"/>
    <xf numFmtId="177" fontId="298" fillId="0" borderId="0"/>
    <xf numFmtId="177" fontId="17" fillId="107" borderId="0"/>
    <xf numFmtId="177" fontId="18" fillId="107" borderId="0"/>
    <xf numFmtId="177" fontId="18" fillId="62" borderId="0"/>
    <xf numFmtId="177" fontId="161" fillId="62" borderId="0">
      <alignment horizontal="left"/>
    </xf>
    <xf numFmtId="177" fontId="299" fillId="62" borderId="0">
      <alignment horizontal="left"/>
    </xf>
    <xf numFmtId="177" fontId="299" fillId="64" borderId="0">
      <alignment horizontal="left"/>
    </xf>
    <xf numFmtId="177" fontId="161" fillId="62" borderId="0">
      <alignment horizontal="left"/>
    </xf>
    <xf numFmtId="177" fontId="30" fillId="62" borderId="0">
      <alignment horizontal="left"/>
    </xf>
    <xf numFmtId="177" fontId="161" fillId="107" borderId="0">
      <alignment horizontal="left" indent="1"/>
    </xf>
    <xf numFmtId="177" fontId="30" fillId="107" borderId="0">
      <alignment horizontal="left" indent="1"/>
    </xf>
    <xf numFmtId="177" fontId="299" fillId="64" borderId="0">
      <alignment horizontal="left" indent="1"/>
    </xf>
    <xf numFmtId="177" fontId="30" fillId="62" borderId="0">
      <alignment horizontal="left" indent="1"/>
    </xf>
    <xf numFmtId="177" fontId="161" fillId="107" borderId="0">
      <alignment horizontal="left" vertical="center" indent="2"/>
    </xf>
    <xf numFmtId="177" fontId="30" fillId="107" borderId="0">
      <alignment horizontal="left" vertical="center" indent="2"/>
    </xf>
    <xf numFmtId="177" fontId="30" fillId="62" borderId="0">
      <alignment horizontal="left" vertical="center" indent="2"/>
    </xf>
    <xf numFmtId="177" fontId="98" fillId="0" borderId="0">
      <alignment vertical="top"/>
    </xf>
    <xf numFmtId="177" fontId="266" fillId="0" borderId="0"/>
    <xf numFmtId="177" fontId="93" fillId="0" borderId="0">
      <alignment vertical="top"/>
    </xf>
    <xf numFmtId="177" fontId="14" fillId="0" borderId="0" applyNumberFormat="0" applyFill="0" applyBorder="0">
      <alignment horizontal="left"/>
    </xf>
    <xf numFmtId="177" fontId="14" fillId="0" borderId="0" applyFill="0" applyBorder="0" applyAlignment="0" applyProtection="0"/>
    <xf numFmtId="177" fontId="14" fillId="0" borderId="0" applyFill="0" applyBorder="0" applyAlignment="0" applyProtection="0"/>
    <xf numFmtId="38" fontId="300" fillId="0" borderId="0">
      <alignment horizontal="center"/>
    </xf>
    <xf numFmtId="177" fontId="275" fillId="0" borderId="0" applyFill="0" applyBorder="0" applyProtection="0">
      <alignment horizontal="left" vertical="top"/>
    </xf>
    <xf numFmtId="18" fontId="93" fillId="5" borderId="0" applyFont="0" applyFill="0" applyBorder="0" applyAlignment="0" applyProtection="0">
      <protection locked="0"/>
    </xf>
    <xf numFmtId="177" fontId="24" fillId="0" borderId="0" applyNumberFormat="0" applyFill="0" applyBorder="0" applyAlignment="0" applyProtection="0"/>
    <xf numFmtId="177" fontId="2" fillId="0" borderId="0" applyNumberFormat="0" applyFill="0" applyBorder="0" applyAlignment="0" applyProtection="0"/>
    <xf numFmtId="40" fontId="127" fillId="0" borderId="0"/>
    <xf numFmtId="177" fontId="284" fillId="0" borderId="0"/>
    <xf numFmtId="177" fontId="301" fillId="0" borderId="0" applyNumberFormat="0" applyFill="0" applyBorder="0" applyAlignment="0" applyProtection="0"/>
    <xf numFmtId="49" fontId="302" fillId="64" borderId="0" applyNumberFormat="0" applyFill="0" applyBorder="0" applyAlignment="0" applyProtection="0"/>
    <xf numFmtId="3" fontId="303" fillId="0" borderId="0"/>
    <xf numFmtId="177" fontId="304" fillId="119" borderId="0" applyNumberFormat="0" applyBorder="0" applyProtection="0">
      <alignment horizontal="left" vertical="center"/>
    </xf>
    <xf numFmtId="177" fontId="62" fillId="0" borderId="0">
      <alignment horizontal="centerContinuous"/>
    </xf>
    <xf numFmtId="177" fontId="181" fillId="0" borderId="66">
      <alignment horizontal="centerContinuous"/>
    </xf>
    <xf numFmtId="177" fontId="181" fillId="0" borderId="66">
      <alignment horizontal="centerContinuous"/>
    </xf>
    <xf numFmtId="177" fontId="172" fillId="0" borderId="0">
      <alignment horizontal="centerContinuous"/>
      <protection locked="0"/>
    </xf>
    <xf numFmtId="177" fontId="172" fillId="0" borderId="0">
      <alignment horizontal="left"/>
    </xf>
    <xf numFmtId="177" fontId="305" fillId="0" borderId="0" applyNumberFormat="0" applyFill="0" applyBorder="0" applyAlignment="0" applyProtection="0"/>
    <xf numFmtId="177" fontId="265" fillId="0" borderId="0">
      <alignment vertical="top"/>
    </xf>
    <xf numFmtId="177" fontId="20" fillId="0" borderId="0" applyNumberFormat="0" applyFill="0" applyBorder="0" applyAlignment="0" applyProtection="0"/>
    <xf numFmtId="177" fontId="306" fillId="0" borderId="0" applyNumberFormat="0" applyFill="0" applyBorder="0" applyProtection="0"/>
    <xf numFmtId="177" fontId="307" fillId="0" borderId="0" applyFill="0" applyBorder="0" applyAlignment="0" applyProtection="0"/>
    <xf numFmtId="177" fontId="308" fillId="0" borderId="0" applyFill="0" applyBorder="0" applyAlignment="0" applyProtection="0"/>
    <xf numFmtId="177" fontId="14" fillId="120" borderId="0">
      <alignment horizontal="left" indent="1"/>
    </xf>
    <xf numFmtId="177" fontId="30" fillId="0" borderId="1" applyNumberFormat="0" applyFill="0" applyAlignment="0" applyProtection="0"/>
    <xf numFmtId="177" fontId="30" fillId="0" borderId="1" applyNumberFormat="0" applyFill="0" applyAlignment="0" applyProtection="0"/>
    <xf numFmtId="177" fontId="99" fillId="0" borderId="11" applyNumberFormat="0" applyFill="0" applyAlignment="0" applyProtection="0"/>
    <xf numFmtId="177" fontId="95" fillId="0" borderId="9" applyNumberFormat="0" applyFill="0" applyAlignment="0" applyProtection="0"/>
    <xf numFmtId="177" fontId="95" fillId="0" borderId="9" applyNumberFormat="0" applyFill="0" applyAlignment="0" applyProtection="0"/>
    <xf numFmtId="177" fontId="95" fillId="0" borderId="9" applyNumberFormat="0" applyFill="0" applyAlignment="0" applyProtection="0"/>
    <xf numFmtId="177" fontId="95" fillId="0" borderId="9" applyNumberFormat="0" applyFill="0" applyAlignment="0" applyProtection="0"/>
    <xf numFmtId="177" fontId="95" fillId="0" borderId="9" applyNumberFormat="0" applyFill="0" applyAlignment="0" applyProtection="0"/>
    <xf numFmtId="177" fontId="95" fillId="0" borderId="9" applyNumberFormat="0" applyFill="0" applyAlignment="0" applyProtection="0"/>
    <xf numFmtId="177" fontId="309" fillId="0" borderId="5" applyNumberFormat="0" applyFont="0" applyFill="0" applyAlignment="0" applyProtection="0"/>
    <xf numFmtId="177" fontId="309" fillId="0" borderId="5" applyNumberFormat="0" applyFont="0" applyFill="0" applyAlignment="0" applyProtection="0"/>
    <xf numFmtId="177" fontId="309" fillId="0" borderId="5" applyNumberFormat="0" applyFont="0" applyFill="0" applyAlignment="0" applyProtection="0"/>
    <xf numFmtId="177" fontId="309" fillId="0" borderId="5" applyNumberFormat="0" applyFont="0" applyFill="0" applyAlignment="0" applyProtection="0"/>
    <xf numFmtId="177" fontId="309" fillId="0" borderId="5" applyNumberFormat="0" applyFont="0" applyFill="0" applyAlignment="0" applyProtection="0"/>
    <xf numFmtId="177" fontId="309" fillId="0" borderId="5" applyNumberFormat="0" applyFont="0" applyFill="0" applyAlignment="0" applyProtection="0"/>
    <xf numFmtId="177" fontId="309" fillId="0" borderId="5" applyNumberFormat="0" applyFont="0" applyFill="0" applyAlignment="0" applyProtection="0"/>
    <xf numFmtId="177" fontId="309" fillId="0" borderId="5" applyNumberFormat="0" applyFont="0" applyFill="0" applyAlignment="0" applyProtection="0"/>
    <xf numFmtId="177" fontId="309" fillId="0" borderId="5" applyNumberFormat="0" applyFont="0" applyFill="0" applyAlignment="0" applyProtection="0"/>
    <xf numFmtId="177" fontId="309" fillId="0" borderId="5" applyNumberFormat="0" applyFont="0" applyFill="0" applyAlignment="0" applyProtection="0"/>
    <xf numFmtId="177" fontId="309" fillId="0" borderId="5" applyNumberFormat="0" applyFont="0" applyFill="0" applyAlignment="0" applyProtection="0"/>
    <xf numFmtId="177" fontId="309" fillId="0" borderId="5" applyNumberFormat="0" applyFont="0" applyFill="0" applyAlignment="0" applyProtection="0"/>
    <xf numFmtId="177" fontId="99" fillId="0" borderId="5" applyNumberFormat="0" applyFill="0" applyAlignment="0" applyProtection="0"/>
    <xf numFmtId="177" fontId="99" fillId="0" borderId="5" applyNumberFormat="0" applyFill="0" applyAlignment="0" applyProtection="0"/>
    <xf numFmtId="177" fontId="99" fillId="0" borderId="5" applyNumberFormat="0" applyFill="0" applyAlignment="0" applyProtection="0"/>
    <xf numFmtId="177" fontId="99" fillId="0" borderId="5" applyNumberFormat="0" applyFill="0" applyAlignment="0" applyProtection="0"/>
    <xf numFmtId="177" fontId="99" fillId="0" borderId="5" applyNumberFormat="0" applyFill="0" applyAlignment="0" applyProtection="0"/>
    <xf numFmtId="177" fontId="99" fillId="0" borderId="5" applyNumberFormat="0" applyFill="0" applyAlignment="0" applyProtection="0"/>
    <xf numFmtId="177" fontId="99" fillId="0" borderId="5" applyNumberFormat="0" applyFill="0" applyAlignment="0" applyProtection="0"/>
    <xf numFmtId="177" fontId="99" fillId="0" borderId="5" applyNumberFormat="0" applyFill="0" applyAlignment="0" applyProtection="0"/>
    <xf numFmtId="177" fontId="99" fillId="0" borderId="5" applyNumberFormat="0" applyFill="0" applyAlignment="0" applyProtection="0"/>
    <xf numFmtId="177" fontId="99" fillId="0" borderId="5" applyNumberFormat="0" applyFill="0" applyAlignment="0" applyProtection="0"/>
    <xf numFmtId="177" fontId="99" fillId="0" borderId="5" applyNumberFormat="0" applyFill="0" applyAlignment="0" applyProtection="0"/>
    <xf numFmtId="177" fontId="99" fillId="0" borderId="5" applyNumberFormat="0" applyFill="0" applyAlignment="0" applyProtection="0"/>
    <xf numFmtId="39" fontId="24" fillId="0" borderId="0">
      <alignment vertical="center"/>
    </xf>
    <xf numFmtId="177" fontId="30" fillId="0" borderId="1" applyNumberFormat="0" applyFill="0" applyAlignment="0" applyProtection="0"/>
    <xf numFmtId="177" fontId="30" fillId="0" borderId="2" applyNumberFormat="0" applyFill="0" applyAlignment="0" applyProtection="0"/>
    <xf numFmtId="177" fontId="30" fillId="0" borderId="2" applyNumberFormat="0" applyFill="0" applyAlignment="0" applyProtection="0"/>
    <xf numFmtId="177" fontId="94" fillId="48" borderId="14"/>
    <xf numFmtId="37" fontId="87" fillId="0" borderId="5" applyNumberFormat="0" applyFont="0" applyFill="0" applyAlignment="0"/>
    <xf numFmtId="37" fontId="87" fillId="0" borderId="5" applyNumberFormat="0" applyFont="0" applyFill="0" applyAlignment="0"/>
    <xf numFmtId="37" fontId="87" fillId="0" borderId="5" applyNumberFormat="0" applyFont="0" applyFill="0" applyAlignment="0"/>
    <xf numFmtId="37" fontId="87" fillId="0" borderId="5" applyNumberFormat="0" applyFont="0" applyFill="0" applyAlignment="0"/>
    <xf numFmtId="37" fontId="87" fillId="0" borderId="5" applyNumberFormat="0" applyFont="0" applyFill="0" applyAlignment="0"/>
    <xf numFmtId="37" fontId="87" fillId="0" borderId="5" applyNumberFormat="0" applyFont="0" applyFill="0" applyAlignment="0"/>
    <xf numFmtId="37" fontId="87" fillId="0" borderId="5" applyNumberFormat="0" applyFont="0" applyFill="0" applyAlignment="0"/>
    <xf numFmtId="37" fontId="87" fillId="0" borderId="5" applyNumberFormat="0" applyFont="0" applyFill="0" applyAlignment="0"/>
    <xf numFmtId="37" fontId="87" fillId="0" borderId="5" applyNumberFormat="0" applyFont="0" applyFill="0" applyAlignment="0"/>
    <xf numFmtId="37" fontId="87" fillId="0" borderId="5" applyNumberFormat="0" applyFont="0" applyFill="0" applyAlignment="0"/>
    <xf numFmtId="37" fontId="87" fillId="0" borderId="5" applyNumberFormat="0" applyFont="0" applyFill="0" applyAlignment="0"/>
    <xf numFmtId="37" fontId="87" fillId="0" borderId="5" applyNumberFormat="0" applyFont="0" applyFill="0" applyAlignment="0"/>
    <xf numFmtId="177" fontId="152" fillId="0" borderId="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3" fontId="20" fillId="0" borderId="7" applyNumberFormat="0"/>
    <xf numFmtId="39" fontId="30" fillId="0" borderId="68" applyFill="0" applyAlignment="0" applyProtection="0"/>
    <xf numFmtId="177" fontId="19" fillId="0" borderId="0"/>
    <xf numFmtId="177" fontId="32" fillId="0" borderId="7" applyNumberFormat="0" applyFont="0" applyFill="0" applyAlignment="0" applyProtection="0"/>
    <xf numFmtId="177" fontId="2" fillId="0" borderId="7" applyNumberFormat="0" applyFont="0" applyFill="0" applyProtection="0">
      <alignment horizontal="centerContinuous"/>
    </xf>
    <xf numFmtId="177" fontId="2" fillId="0" borderId="7" applyNumberFormat="0" applyFont="0" applyFill="0" applyProtection="0">
      <alignment horizontal="centerContinuous"/>
    </xf>
    <xf numFmtId="164" fontId="2" fillId="0" borderId="37" applyNumberFormat="0" applyFont="0" applyFill="0" applyAlignment="0" applyProtection="0"/>
    <xf numFmtId="177" fontId="181" fillId="0" borderId="0">
      <alignment horizontal="right"/>
    </xf>
    <xf numFmtId="177" fontId="24" fillId="0" borderId="0">
      <alignment horizontal="right"/>
    </xf>
    <xf numFmtId="1" fontId="181" fillId="0" borderId="0">
      <alignment horizontal="left"/>
    </xf>
    <xf numFmtId="177" fontId="310" fillId="5" borderId="21"/>
    <xf numFmtId="177" fontId="181" fillId="0" borderId="0">
      <alignment horizontal="right"/>
    </xf>
    <xf numFmtId="177" fontId="311" fillId="0" borderId="0">
      <alignment horizontal="fill"/>
    </xf>
    <xf numFmtId="38" fontId="181" fillId="0" borderId="0">
      <alignment horizontal="right"/>
    </xf>
    <xf numFmtId="37" fontId="30" fillId="58" borderId="0" applyNumberFormat="0" applyBorder="0" applyAlignment="0" applyProtection="0"/>
    <xf numFmtId="37" fontId="30" fillId="0" borderId="0"/>
    <xf numFmtId="37" fontId="30" fillId="53" borderId="0" applyNumberFormat="0" applyBorder="0" applyAlignment="0" applyProtection="0"/>
    <xf numFmtId="38" fontId="90" fillId="0" borderId="0" applyNumberFormat="0" applyBorder="0" applyAlignment="0">
      <protection locked="0"/>
    </xf>
    <xf numFmtId="1" fontId="312" fillId="0" borderId="0" applyNumberFormat="0" applyBorder="0" applyAlignment="0" applyProtection="0"/>
    <xf numFmtId="177" fontId="14" fillId="0" borderId="0" applyNumberFormat="0"/>
    <xf numFmtId="177" fontId="14" fillId="0" borderId="0" applyNumberFormat="0"/>
    <xf numFmtId="177" fontId="313" fillId="56" borderId="0">
      <alignment horizontal="center"/>
    </xf>
    <xf numFmtId="177" fontId="14" fillId="0" borderId="0"/>
    <xf numFmtId="177" fontId="32" fillId="0" borderId="0"/>
    <xf numFmtId="177" fontId="19" fillId="0" borderId="0"/>
    <xf numFmtId="177" fontId="19" fillId="0" borderId="0"/>
    <xf numFmtId="177" fontId="19" fillId="0" borderId="0"/>
    <xf numFmtId="177" fontId="19" fillId="0" borderId="0"/>
    <xf numFmtId="177" fontId="19" fillId="0" borderId="0"/>
    <xf numFmtId="177" fontId="93" fillId="0" borderId="0"/>
    <xf numFmtId="168" fontId="29" fillId="0" borderId="0" applyFont="0" applyFill="0" applyBorder="0" applyAlignment="0" applyProtection="0"/>
    <xf numFmtId="169" fontId="29" fillId="0" borderId="0" applyFont="0" applyFill="0" applyBorder="0" applyAlignment="0" applyProtection="0"/>
    <xf numFmtId="177" fontId="314" fillId="0" borderId="0" applyNumberFormat="0" applyFill="0" applyBorder="0" applyAlignment="0" applyProtection="0"/>
    <xf numFmtId="243" fontId="21" fillId="0" borderId="0" applyFont="0" applyFill="0" applyBorder="0" applyAlignment="0" applyProtection="0"/>
    <xf numFmtId="244" fontId="21" fillId="0" borderId="0" applyFon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0" fillId="0" borderId="0" applyNumberFormat="0" applyBorder="0" applyAlignment="0" applyProtection="0"/>
    <xf numFmtId="164" fontId="72" fillId="0" borderId="0">
      <alignment vertical="center"/>
    </xf>
    <xf numFmtId="177" fontId="93" fillId="0" borderId="0"/>
    <xf numFmtId="177" fontId="18" fillId="5" borderId="0" applyNumberFormat="0" applyFont="0" applyAlignment="0" applyProtection="0"/>
    <xf numFmtId="177" fontId="18" fillId="5" borderId="5" applyNumberFormat="0" applyFont="0" applyAlignment="0" applyProtection="0">
      <protection locked="0"/>
    </xf>
    <xf numFmtId="177" fontId="18" fillId="5" borderId="5" applyNumberFormat="0" applyFont="0" applyAlignment="0" applyProtection="0">
      <protection locked="0"/>
    </xf>
    <xf numFmtId="177" fontId="18" fillId="5" borderId="5" applyNumberFormat="0" applyFont="0" applyAlignment="0" applyProtection="0">
      <protection locked="0"/>
    </xf>
    <xf numFmtId="177" fontId="18" fillId="5" borderId="5" applyNumberFormat="0" applyFont="0" applyAlignment="0" applyProtection="0">
      <protection locked="0"/>
    </xf>
    <xf numFmtId="177" fontId="18" fillId="5" borderId="5" applyNumberFormat="0" applyFont="0" applyAlignment="0" applyProtection="0">
      <protection locked="0"/>
    </xf>
    <xf numFmtId="177" fontId="18" fillId="5" borderId="5" applyNumberFormat="0" applyFont="0" applyAlignment="0" applyProtection="0">
      <protection locked="0"/>
    </xf>
    <xf numFmtId="177" fontId="18" fillId="5" borderId="5" applyNumberFormat="0" applyFont="0" applyAlignment="0" applyProtection="0">
      <protection locked="0"/>
    </xf>
    <xf numFmtId="177" fontId="18" fillId="5" borderId="5" applyNumberFormat="0" applyFont="0" applyAlignment="0" applyProtection="0">
      <protection locked="0"/>
    </xf>
    <xf numFmtId="177" fontId="18" fillId="5" borderId="5" applyNumberFormat="0" applyFont="0" applyAlignment="0" applyProtection="0">
      <protection locked="0"/>
    </xf>
    <xf numFmtId="177" fontId="18" fillId="5" borderId="5" applyNumberFormat="0" applyFont="0" applyAlignment="0" applyProtection="0">
      <protection locked="0"/>
    </xf>
    <xf numFmtId="177" fontId="18" fillId="5" borderId="5" applyNumberFormat="0" applyFont="0" applyAlignment="0" applyProtection="0">
      <protection locked="0"/>
    </xf>
    <xf numFmtId="177" fontId="18" fillId="5" borderId="5" applyNumberFormat="0" applyFont="0" applyAlignment="0" applyProtection="0">
      <protection locked="0"/>
    </xf>
    <xf numFmtId="177" fontId="316" fillId="0" borderId="0" applyNumberFormat="0" applyFill="0" applyBorder="0" applyAlignment="0" applyProtection="0"/>
    <xf numFmtId="1" fontId="30" fillId="0" borderId="0" applyFill="0" applyBorder="0" applyAlignment="0" applyProtection="0"/>
    <xf numFmtId="177" fontId="317" fillId="53" borderId="0">
      <alignment horizontal="center"/>
    </xf>
    <xf numFmtId="39" fontId="91" fillId="17" borderId="0">
      <alignment horizontal="left"/>
    </xf>
    <xf numFmtId="1" fontId="318" fillId="0" borderId="0">
      <alignment horizontal="right"/>
    </xf>
    <xf numFmtId="40" fontId="18" fillId="0" borderId="0">
      <alignment horizontal="left" wrapText="1"/>
    </xf>
    <xf numFmtId="177" fontId="19" fillId="0" borderId="0"/>
    <xf numFmtId="177" fontId="30" fillId="0" borderId="0" applyFill="0" applyBorder="0" applyAlignment="0" applyProtection="0"/>
    <xf numFmtId="177" fontId="24" fillId="0" borderId="0"/>
    <xf numFmtId="177" fontId="24" fillId="0" borderId="0"/>
    <xf numFmtId="39" fontId="24" fillId="0" borderId="0"/>
    <xf numFmtId="39" fontId="24" fillId="0" borderId="0"/>
    <xf numFmtId="39" fontId="24" fillId="0" borderId="0"/>
    <xf numFmtId="39" fontId="24" fillId="0" borderId="0"/>
    <xf numFmtId="39" fontId="24" fillId="0" borderId="0"/>
    <xf numFmtId="177" fontId="30" fillId="0" borderId="0" applyFill="0" applyBorder="0" applyAlignment="0" applyProtection="0"/>
    <xf numFmtId="177" fontId="25" fillId="0" borderId="0" applyFill="0" applyBorder="0" applyAlignment="0" applyProtection="0"/>
    <xf numFmtId="177" fontId="25" fillId="0" borderId="0" applyFill="0" applyBorder="0" applyAlignment="0" applyProtection="0"/>
    <xf numFmtId="177" fontId="25" fillId="0" borderId="0" applyFill="0" applyBorder="0" applyAlignment="0" applyProtection="0"/>
    <xf numFmtId="177" fontId="14" fillId="0" borderId="0" applyFont="0" applyFill="0" applyBorder="0" applyProtection="0">
      <alignment horizontal="right" vertical="center"/>
    </xf>
    <xf numFmtId="177" fontId="19" fillId="0" borderId="0"/>
    <xf numFmtId="245" fontId="21" fillId="0" borderId="0" applyFont="0" applyFill="0" applyBorder="0" applyAlignment="0" applyProtection="0"/>
    <xf numFmtId="246" fontId="21" fillId="0" borderId="0" applyFont="0" applyFill="0" applyBorder="0" applyAlignment="0" applyProtection="0"/>
    <xf numFmtId="247" fontId="21" fillId="0" borderId="0" applyFont="0" applyFill="0" applyBorder="0" applyAlignment="0" applyProtection="0"/>
    <xf numFmtId="248" fontId="21" fillId="0" borderId="0" applyFont="0" applyFill="0" applyBorder="0" applyAlignment="0" applyProtection="0"/>
    <xf numFmtId="249" fontId="21" fillId="0" borderId="0" applyFont="0" applyFill="0" applyBorder="0" applyAlignment="0" applyProtection="0"/>
    <xf numFmtId="250" fontId="21" fillId="0" borderId="0" applyFont="0" applyFill="0" applyBorder="0" applyAlignment="0" applyProtection="0"/>
    <xf numFmtId="251" fontId="21" fillId="0" borderId="0" applyFont="0" applyFill="0" applyBorder="0" applyAlignment="0" applyProtection="0"/>
    <xf numFmtId="252" fontId="21" fillId="0" borderId="0" applyFont="0" applyFill="0" applyBorder="0" applyAlignment="0" applyProtection="0"/>
    <xf numFmtId="1" fontId="30" fillId="53" borderId="0"/>
    <xf numFmtId="177" fontId="319" fillId="121" borderId="69" applyNumberFormat="0" applyFont="0" applyBorder="0" applyAlignment="0" applyProtection="0">
      <alignment horizontal="right"/>
    </xf>
    <xf numFmtId="177" fontId="77" fillId="0" borderId="0" applyFont="0" applyFill="0" applyBorder="0" applyAlignment="0" applyProtection="0"/>
    <xf numFmtId="177" fontId="62" fillId="0" borderId="3"/>
    <xf numFmtId="177" fontId="14" fillId="0" borderId="0" applyFont="0" applyFill="0" applyBorder="0" applyProtection="0">
      <alignment horizontal="right" vertical="center"/>
    </xf>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177" fontId="14" fillId="0" borderId="0" applyFill="0" applyBorder="0" applyAlignment="0" applyProtection="0"/>
    <xf numFmtId="39" fontId="18" fillId="50" borderId="70"/>
    <xf numFmtId="177" fontId="14" fillId="0" borderId="0" applyFill="0" applyBorder="0" applyAlignment="0" applyProtection="0"/>
    <xf numFmtId="177" fontId="14" fillId="0" borderId="0" applyFill="0" applyBorder="0" applyAlignment="0" applyProtection="0"/>
    <xf numFmtId="177" fontId="14" fillId="0" borderId="0">
      <alignment horizontal="center" vertical="center"/>
    </xf>
    <xf numFmtId="177" fontId="14" fillId="0" borderId="0">
      <alignment horizontal="center" vertical="center"/>
    </xf>
    <xf numFmtId="177" fontId="172" fillId="0" borderId="0">
      <alignment horizontal="center"/>
    </xf>
    <xf numFmtId="177" fontId="76" fillId="29" borderId="0" applyNumberFormat="0" applyBorder="0" applyAlignment="0" applyProtection="0"/>
    <xf numFmtId="0"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0"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0"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0"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0"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0"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0"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0"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0"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0"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6" fillId="29" borderId="0" applyNumberFormat="0" applyBorder="0" applyAlignment="0" applyProtection="0"/>
    <xf numFmtId="177" fontId="70" fillId="122" borderId="0" applyNumberFormat="0" applyBorder="0" applyAlignment="0" applyProtection="0"/>
    <xf numFmtId="177" fontId="76" fillId="33" borderId="0" applyNumberFormat="0" applyBorder="0" applyAlignment="0" applyProtection="0"/>
    <xf numFmtId="0"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0"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0"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0"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0"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0"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0"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0"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0"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0"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3" borderId="0" applyNumberFormat="0" applyBorder="0" applyAlignment="0" applyProtection="0"/>
    <xf numFmtId="177" fontId="76" fillId="37" borderId="0" applyNumberFormat="0" applyBorder="0" applyAlignment="0" applyProtection="0"/>
    <xf numFmtId="0"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0"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0"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0"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0"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0"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0"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0"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0"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0"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6" fillId="37" borderId="0" applyNumberFormat="0" applyBorder="0" applyAlignment="0" applyProtection="0"/>
    <xf numFmtId="177" fontId="70" fillId="123" borderId="0" applyNumberFormat="0" applyBorder="0" applyAlignment="0" applyProtection="0"/>
    <xf numFmtId="177" fontId="76" fillId="39" borderId="0" applyNumberFormat="0" applyBorder="0" applyAlignment="0" applyProtection="0"/>
    <xf numFmtId="0"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0"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0"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0"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0"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0"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0"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0"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0"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0"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6" fillId="39" borderId="0" applyNumberFormat="0" applyBorder="0" applyAlignment="0" applyProtection="0"/>
    <xf numFmtId="177" fontId="70" fillId="124"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0"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6" fillId="28" borderId="0" applyNumberFormat="0" applyBorder="0" applyAlignment="0" applyProtection="0"/>
    <xf numFmtId="177" fontId="70" fillId="125" borderId="0" applyNumberFormat="0" applyBorder="0" applyAlignment="0" applyProtection="0"/>
    <xf numFmtId="177" fontId="76" fillId="45" borderId="0" applyNumberFormat="0" applyBorder="0" applyAlignment="0" applyProtection="0"/>
    <xf numFmtId="0"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0"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0"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0"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0"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0"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0"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0"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0"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0"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320" fillId="16" borderId="71"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71"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0"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193" fillId="43" borderId="30" applyNumberFormat="0" applyAlignment="0" applyProtection="0"/>
    <xf numFmtId="177" fontId="321" fillId="112"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117"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227" fillId="51" borderId="15" applyNumberFormat="0" applyAlignment="0" applyProtection="0"/>
    <xf numFmtId="177" fontId="322" fillId="112" borderId="71"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323" fillId="117" borderId="71"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0"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123" fillId="51" borderId="30" applyNumberFormat="0" applyAlignment="0" applyProtection="0"/>
    <xf numFmtId="177" fontId="324" fillId="0" borderId="0" applyNumberFormat="0" applyFill="0" applyBorder="0" applyAlignment="0" applyProtection="0">
      <alignment vertical="top"/>
      <protection locked="0"/>
    </xf>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7" fontId="21" fillId="0" borderId="0" applyNumberFormat="0" applyFill="0" applyBorder="0" applyAlignment="0" applyProtection="0"/>
    <xf numFmtId="177" fontId="325" fillId="0" borderId="72"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0"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0"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185" fillId="0" borderId="40" applyNumberFormat="0" applyFill="0" applyAlignment="0" applyProtection="0"/>
    <xf numFmtId="177" fontId="326" fillId="0" borderId="73" applyNumberFormat="0" applyFill="0" applyAlignment="0" applyProtection="0"/>
    <xf numFmtId="177" fontId="186" fillId="0" borderId="41" applyNumberFormat="0" applyFill="0" applyAlignment="0" applyProtection="0"/>
    <xf numFmtId="0"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0" fontId="186" fillId="0" borderId="73"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0"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0"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0"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0"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0"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0"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0"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0"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0"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6" fillId="0" borderId="41" applyNumberFormat="0" applyFill="0" applyAlignment="0" applyProtection="0"/>
    <xf numFmtId="177" fontId="187" fillId="0" borderId="42" applyNumberFormat="0" applyFill="0" applyAlignment="0" applyProtection="0"/>
    <xf numFmtId="0"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0" fontId="187" fillId="0" borderId="26"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0"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0"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0"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0"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0"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0"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0"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0"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0"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187" fillId="0" borderId="42" applyNumberFormat="0" applyFill="0" applyAlignment="0" applyProtection="0"/>
    <xf numFmtId="177" fontId="32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0"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0"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87" fillId="0" borderId="0" applyNumberFormat="0" applyFill="0" applyBorder="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0"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168" fillId="0" borderId="67" applyNumberFormat="0" applyFill="0" applyAlignment="0" applyProtection="0"/>
    <xf numFmtId="177" fontId="328" fillId="126" borderId="32" applyNumberFormat="0" applyAlignment="0" applyProtection="0"/>
    <xf numFmtId="177" fontId="131" fillId="39" borderId="32" applyNumberFormat="0" applyAlignment="0" applyProtection="0"/>
    <xf numFmtId="0"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0" fontId="131" fillId="38"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0"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0"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0"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0"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0"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0"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0"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0"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0"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7" fontId="131" fillId="39" borderId="32" applyNumberFormat="0" applyAlignment="0" applyProtection="0"/>
    <xf numFmtId="175" fontId="13" fillId="0" borderId="34" applyFont="0" applyFill="0" applyBorder="0" applyAlignment="0" applyProtection="0"/>
    <xf numFmtId="0" fontId="16" fillId="0" borderId="0" applyNumberFormat="0" applyFill="0" applyBorder="0" applyAlignment="0" applyProtection="0"/>
    <xf numFmtId="177" fontId="329" fillId="9" borderId="0" applyNumberFormat="0" applyBorder="0" applyAlignment="0" applyProtection="0"/>
    <xf numFmtId="177" fontId="207" fillId="43" borderId="0" applyNumberFormat="0" applyBorder="0" applyAlignment="0" applyProtection="0"/>
    <xf numFmtId="0"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0" fontId="330"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0"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0" fontId="207" fillId="43" borderId="0" applyNumberFormat="0" applyBorder="0" applyAlignment="0" applyProtection="0"/>
    <xf numFmtId="0"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0"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0"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0"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0"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0"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0"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0"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207" fillId="43" borderId="0" applyNumberFormat="0" applyBorder="0" applyAlignment="0" applyProtection="0"/>
    <xf numFmtId="177" fontId="13" fillId="0" borderId="0"/>
    <xf numFmtId="0" fontId="161" fillId="0" borderId="0">
      <alignment horizontal="left"/>
    </xf>
    <xf numFmtId="177" fontId="13" fillId="0" borderId="0"/>
    <xf numFmtId="0" fontId="161" fillId="0" borderId="0">
      <alignment horizontal="left"/>
    </xf>
    <xf numFmtId="0" fontId="161" fillId="127" borderId="0"/>
    <xf numFmtId="177" fontId="13" fillId="0" borderId="0"/>
    <xf numFmtId="0" fontId="161" fillId="0" borderId="0">
      <alignment horizontal="left"/>
    </xf>
    <xf numFmtId="177" fontId="13" fillId="0" borderId="0"/>
    <xf numFmtId="0" fontId="161" fillId="0" borderId="0">
      <alignment horizontal="left"/>
    </xf>
    <xf numFmtId="177" fontId="13" fillId="0" borderId="0"/>
    <xf numFmtId="0" fontId="161" fillId="0" borderId="0">
      <alignment horizontal="left"/>
    </xf>
    <xf numFmtId="177" fontId="13" fillId="0" borderId="0"/>
    <xf numFmtId="0" fontId="161" fillId="0" borderId="0">
      <alignment horizontal="left"/>
    </xf>
    <xf numFmtId="177" fontId="13" fillId="0" borderId="0"/>
    <xf numFmtId="0" fontId="161" fillId="0" borderId="0">
      <alignment horizontal="left"/>
    </xf>
    <xf numFmtId="177" fontId="13" fillId="0" borderId="0"/>
    <xf numFmtId="0" fontId="161" fillId="0" borderId="0">
      <alignment horizontal="left"/>
    </xf>
    <xf numFmtId="177" fontId="13" fillId="0" borderId="0"/>
    <xf numFmtId="0" fontId="13" fillId="0" borderId="0"/>
    <xf numFmtId="177" fontId="13" fillId="0" borderId="0"/>
    <xf numFmtId="0" fontId="13" fillId="0" borderId="0"/>
    <xf numFmtId="177" fontId="161" fillId="127" borderId="0"/>
    <xf numFmtId="177" fontId="161" fillId="127" borderId="0"/>
    <xf numFmtId="177" fontId="161" fillId="127" borderId="0"/>
    <xf numFmtId="177" fontId="161" fillId="127" borderId="0"/>
    <xf numFmtId="177" fontId="161" fillId="127" borderId="0"/>
    <xf numFmtId="177" fontId="12" fillId="0" borderId="0"/>
    <xf numFmtId="0" fontId="12" fillId="0" borderId="0"/>
    <xf numFmtId="177" fontId="12" fillId="0" borderId="0"/>
    <xf numFmtId="177" fontId="13" fillId="0" borderId="0"/>
    <xf numFmtId="0" fontId="13" fillId="0" borderId="0"/>
    <xf numFmtId="177" fontId="13" fillId="0" borderId="0"/>
    <xf numFmtId="177" fontId="13" fillId="0" borderId="0"/>
    <xf numFmtId="177" fontId="13" fillId="0" borderId="0"/>
    <xf numFmtId="0" fontId="161" fillId="127" borderId="0"/>
    <xf numFmtId="177" fontId="13" fillId="0" borderId="0"/>
    <xf numFmtId="177" fontId="161" fillId="127"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61" fillId="127" borderId="0"/>
    <xf numFmtId="177" fontId="161" fillId="127" borderId="0"/>
    <xf numFmtId="177" fontId="161" fillId="127" borderId="0"/>
    <xf numFmtId="177" fontId="161" fillId="127" borderId="0"/>
    <xf numFmtId="177" fontId="161" fillId="127" borderId="0"/>
    <xf numFmtId="177" fontId="13" fillId="0"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0" fontId="161" fillId="127"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3" fillId="0" borderId="0"/>
    <xf numFmtId="177" fontId="13" fillId="0" borderId="0"/>
    <xf numFmtId="177" fontId="13" fillId="0" borderId="0"/>
    <xf numFmtId="177" fontId="13" fillId="0" borderId="0"/>
    <xf numFmtId="177" fontId="161" fillId="127" borderId="0"/>
    <xf numFmtId="177" fontId="13" fillId="0" borderId="0"/>
    <xf numFmtId="177" fontId="13" fillId="0" borderId="0"/>
    <xf numFmtId="177" fontId="13" fillId="0" borderId="0"/>
    <xf numFmtId="177" fontId="13" fillId="0" borderId="0"/>
    <xf numFmtId="177" fontId="161" fillId="127" borderId="0"/>
    <xf numFmtId="177" fontId="13" fillId="0" borderId="0"/>
    <xf numFmtId="177" fontId="13" fillId="0" borderId="0"/>
    <xf numFmtId="177" fontId="13" fillId="0" borderId="0"/>
    <xf numFmtId="177" fontId="13" fillId="0" borderId="0"/>
    <xf numFmtId="177" fontId="161" fillId="127" borderId="0"/>
    <xf numFmtId="177" fontId="161" fillId="127" borderId="0"/>
    <xf numFmtId="177" fontId="331" fillId="0" borderId="0"/>
    <xf numFmtId="177" fontId="13" fillId="0" borderId="0"/>
    <xf numFmtId="0" fontId="161" fillId="0" borderId="0">
      <alignment horizontal="left"/>
    </xf>
    <xf numFmtId="177" fontId="13" fillId="0" borderId="0"/>
    <xf numFmtId="253" fontId="161" fillId="0" borderId="0">
      <alignment horizontal="left"/>
    </xf>
    <xf numFmtId="177" fontId="13" fillId="0" borderId="0"/>
    <xf numFmtId="253" fontId="161" fillId="0" borderId="0">
      <alignment horizontal="left"/>
    </xf>
    <xf numFmtId="177" fontId="13" fillId="0" borderId="0"/>
    <xf numFmtId="253" fontId="161" fillId="0" borderId="0">
      <alignment horizontal="left"/>
    </xf>
    <xf numFmtId="177" fontId="13" fillId="0" borderId="0"/>
    <xf numFmtId="253" fontId="161" fillId="0" borderId="0">
      <alignment horizontal="left"/>
    </xf>
    <xf numFmtId="177" fontId="13" fillId="0" borderId="0"/>
    <xf numFmtId="253" fontId="161" fillId="0" borderId="0">
      <alignment horizontal="left"/>
    </xf>
    <xf numFmtId="177" fontId="13" fillId="0" borderId="0"/>
    <xf numFmtId="253" fontId="161" fillId="0" borderId="0">
      <alignment horizontal="left"/>
    </xf>
    <xf numFmtId="177" fontId="13" fillId="0" borderId="0"/>
    <xf numFmtId="253" fontId="161" fillId="0" borderId="0">
      <alignment horizontal="left"/>
    </xf>
    <xf numFmtId="177" fontId="13" fillId="0" borderId="0"/>
    <xf numFmtId="253" fontId="161" fillId="0" borderId="0">
      <alignment horizontal="left"/>
    </xf>
    <xf numFmtId="0" fontId="1" fillId="0" borderId="0"/>
    <xf numFmtId="0" fontId="13" fillId="0" borderId="0">
      <alignment vertical="top"/>
    </xf>
    <xf numFmtId="177" fontId="1" fillId="0" borderId="0"/>
    <xf numFmtId="0" fontId="161" fillId="127" borderId="0"/>
    <xf numFmtId="0" fontId="1" fillId="0" borderId="0"/>
    <xf numFmtId="177" fontId="13" fillId="0" borderId="0"/>
    <xf numFmtId="0" fontId="13" fillId="0"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61" fillId="127" borderId="0"/>
    <xf numFmtId="177" fontId="13" fillId="0" borderId="0"/>
    <xf numFmtId="177" fontId="13" fillId="0" borderId="0"/>
    <xf numFmtId="177" fontId="13" fillId="0" borderId="0"/>
    <xf numFmtId="177" fontId="13" fillId="0" borderId="0"/>
    <xf numFmtId="177" fontId="161" fillId="127" borderId="0"/>
    <xf numFmtId="177" fontId="13" fillId="0" borderId="0"/>
    <xf numFmtId="177" fontId="13" fillId="0" borderId="0"/>
    <xf numFmtId="177" fontId="13" fillId="0" borderId="0"/>
    <xf numFmtId="177" fontId="13" fillId="0" borderId="0"/>
    <xf numFmtId="177" fontId="13" fillId="0" borderId="0"/>
    <xf numFmtId="177" fontId="161" fillId="127" borderId="0"/>
    <xf numFmtId="177" fontId="161" fillId="127" borderId="0"/>
    <xf numFmtId="177" fontId="161" fillId="127" borderId="0"/>
    <xf numFmtId="194" fontId="332" fillId="0" borderId="0"/>
    <xf numFmtId="177" fontId="13" fillId="0" borderId="0"/>
    <xf numFmtId="177" fontId="13" fillId="0" borderId="0"/>
    <xf numFmtId="177" fontId="13" fillId="0" borderId="0"/>
    <xf numFmtId="0" fontId="13" fillId="0" borderId="0"/>
    <xf numFmtId="0" fontId="161" fillId="127" borderId="0"/>
    <xf numFmtId="177" fontId="13" fillId="0" borderId="0"/>
    <xf numFmtId="0" fontId="161" fillId="127" borderId="0"/>
    <xf numFmtId="177" fontId="13" fillId="0" borderId="0"/>
    <xf numFmtId="0" fontId="1" fillId="0" borderId="0"/>
    <xf numFmtId="177" fontId="13" fillId="0" borderId="0"/>
    <xf numFmtId="0" fontId="1" fillId="0" borderId="0"/>
    <xf numFmtId="177" fontId="13" fillId="0" borderId="0"/>
    <xf numFmtId="177" fontId="13" fillId="0" borderId="0"/>
    <xf numFmtId="0" fontId="161" fillId="127" borderId="0"/>
    <xf numFmtId="177" fontId="13" fillId="0" borderId="0"/>
    <xf numFmtId="0" fontId="1" fillId="0" borderId="0"/>
    <xf numFmtId="177" fontId="13" fillId="0" borderId="0"/>
    <xf numFmtId="177" fontId="13" fillId="0" borderId="0"/>
    <xf numFmtId="177" fontId="13" fillId="0" borderId="0"/>
    <xf numFmtId="0" fontId="13" fillId="0" borderId="0"/>
    <xf numFmtId="194" fontId="13" fillId="0" borderId="0"/>
    <xf numFmtId="0" fontId="13" fillId="0" borderId="0"/>
    <xf numFmtId="177" fontId="13" fillId="0" borderId="0"/>
    <xf numFmtId="0" fontId="13" fillId="0" borderId="0"/>
    <xf numFmtId="177" fontId="13" fillId="0" borderId="0"/>
    <xf numFmtId="0" fontId="13" fillId="0" borderId="0"/>
    <xf numFmtId="177" fontId="13" fillId="0" borderId="0"/>
    <xf numFmtId="0" fontId="1" fillId="0" borderId="0"/>
    <xf numFmtId="177" fontId="13" fillId="0" borderId="0"/>
    <xf numFmtId="0" fontId="13" fillId="0" borderId="0"/>
    <xf numFmtId="177" fontId="13" fillId="0" borderId="0"/>
    <xf numFmtId="0" fontId="13" fillId="0" borderId="0"/>
    <xf numFmtId="194" fontId="13" fillId="0" borderId="0"/>
    <xf numFmtId="0" fontId="13" fillId="0" borderId="0"/>
    <xf numFmtId="194" fontId="13" fillId="0" borderId="0"/>
    <xf numFmtId="0" fontId="13" fillId="0" borderId="0"/>
    <xf numFmtId="194" fontId="13" fillId="0" borderId="0"/>
    <xf numFmtId="0" fontId="13" fillId="0" borderId="0"/>
    <xf numFmtId="177" fontId="13" fillId="0" borderId="0"/>
    <xf numFmtId="177" fontId="1" fillId="0" borderId="0"/>
    <xf numFmtId="0" fontId="1" fillId="0" borderId="0"/>
    <xf numFmtId="194" fontId="13" fillId="0" borderId="0"/>
    <xf numFmtId="0" fontId="13" fillId="0" borderId="0"/>
    <xf numFmtId="177" fontId="13" fillId="0" borderId="0"/>
    <xf numFmtId="0" fontId="13" fillId="0" borderId="0"/>
    <xf numFmtId="0" fontId="161" fillId="127" borderId="0"/>
    <xf numFmtId="194" fontId="13" fillId="0" borderId="0"/>
    <xf numFmtId="0" fontId="13" fillId="0" borderId="0"/>
    <xf numFmtId="194" fontId="13" fillId="0" borderId="0"/>
    <xf numFmtId="0" fontId="13" fillId="0" borderId="0"/>
    <xf numFmtId="194" fontId="13" fillId="0" borderId="0"/>
    <xf numFmtId="0" fontId="13" fillId="0" borderId="0"/>
    <xf numFmtId="194" fontId="13" fillId="0" borderId="0"/>
    <xf numFmtId="0" fontId="13" fillId="0" borderId="0"/>
    <xf numFmtId="194" fontId="13" fillId="0" borderId="0"/>
    <xf numFmtId="0" fontId="13" fillId="0" borderId="0"/>
    <xf numFmtId="194" fontId="13" fillId="0" borderId="0"/>
    <xf numFmtId="0" fontId="13" fillId="0" borderId="0"/>
    <xf numFmtId="194" fontId="13" fillId="0" borderId="0"/>
    <xf numFmtId="0" fontId="13" fillId="0" borderId="0"/>
    <xf numFmtId="177" fontId="13" fillId="0" borderId="0"/>
    <xf numFmtId="177" fontId="13" fillId="0" borderId="0"/>
    <xf numFmtId="0" fontId="161" fillId="0" borderId="0">
      <alignment horizontal="left"/>
    </xf>
    <xf numFmtId="177" fontId="333" fillId="0" borderId="0" applyNumberFormat="0" applyFill="0" applyBorder="0" applyAlignment="0" applyProtection="0">
      <alignment vertical="top"/>
      <protection locked="0"/>
    </xf>
    <xf numFmtId="177" fontId="89" fillId="42" borderId="0" applyNumberFormat="0" applyBorder="0" applyAlignment="0" applyProtection="0"/>
    <xf numFmtId="0"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0" fontId="334" fillId="3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0"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0"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0"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0"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0"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0"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0"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0"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0"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177" fontId="89" fillId="42" borderId="0" applyNumberFormat="0" applyBorder="0" applyAlignment="0" applyProtection="0"/>
    <xf numFmtId="0" fontId="335" fillId="0" borderId="0" applyNumberFormat="0" applyFill="0" applyBorder="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21" fillId="42" borderId="74"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30"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30"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0"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161" fillId="42" borderId="30" applyNumberFormat="0" applyFont="0" applyAlignment="0" applyProtection="0"/>
    <xf numFmtId="177" fontId="336" fillId="0" borderId="0">
      <protection locked="0"/>
    </xf>
    <xf numFmtId="0" fontId="1" fillId="0" borderId="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21"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2" fillId="0" borderId="0" applyFont="0" applyFill="0" applyBorder="0" applyAlignment="0" applyProtection="0"/>
    <xf numFmtId="9" fontId="337" fillId="0" borderId="0" applyFont="0" applyFill="0" applyBorder="0" applyAlignment="0" applyProtection="0"/>
    <xf numFmtId="9" fontId="337" fillId="0" borderId="0" applyFont="0" applyFill="0" applyBorder="0" applyAlignment="0" applyProtection="0"/>
    <xf numFmtId="9" fontId="3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7" fontId="207" fillId="0" borderId="45" applyNumberFormat="0" applyFill="0" applyAlignment="0" applyProtection="0"/>
    <xf numFmtId="0"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0" fontId="338" fillId="0" borderId="7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0"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0"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0"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0"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0"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0"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0"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0"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0"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207" fillId="0" borderId="45" applyNumberFormat="0" applyFill="0" applyAlignment="0" applyProtection="0"/>
    <xf numFmtId="177" fontId="39" fillId="0" borderId="0"/>
    <xf numFmtId="0" fontId="249" fillId="0" borderId="0">
      <alignment vertical="top"/>
    </xf>
    <xf numFmtId="177" fontId="5" fillId="0" borderId="0" applyNumberFormat="0" applyFill="0" applyBorder="0" applyAlignment="0" applyProtection="0"/>
    <xf numFmtId="177" fontId="315" fillId="0" borderId="0" applyNumberFormat="0" applyFill="0" applyBorder="0" applyAlignment="0" applyProtection="0"/>
    <xf numFmtId="0"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0" fontId="339"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0"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0"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0"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0"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0"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0"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0"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0"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0"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15" fillId="0" borderId="0" applyNumberFormat="0" applyFill="0" applyBorder="0" applyAlignment="0" applyProtection="0"/>
    <xf numFmtId="177" fontId="336" fillId="0" borderId="0">
      <protection locked="0"/>
    </xf>
    <xf numFmtId="3" fontId="340" fillId="0" borderId="14" applyFont="0" applyBorder="0">
      <alignment horizontal="right"/>
      <protection locked="0"/>
    </xf>
    <xf numFmtId="177" fontId="336" fillId="0" borderId="0">
      <protection locked="0"/>
    </xf>
    <xf numFmtId="172"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21"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7" fontId="341" fillId="128" borderId="0" applyNumberFormat="0" applyBorder="0" applyAlignment="0" applyProtection="0"/>
    <xf numFmtId="177" fontId="75" fillId="35" borderId="0" applyNumberFormat="0" applyBorder="0" applyAlignment="0" applyProtection="0"/>
    <xf numFmtId="0"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0" fontId="207" fillId="129"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0"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0"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0"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0"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0"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0"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0"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0"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75" fillId="35" borderId="0" applyNumberFormat="0" applyBorder="0" applyAlignment="0" applyProtection="0"/>
    <xf numFmtId="177" fontId="21" fillId="0" borderId="0" applyNumberFormat="0" applyFill="0" applyBorder="0" applyAlignment="0" applyProtection="0"/>
    <xf numFmtId="177" fontId="54" fillId="0" borderId="0">
      <protection locked="0"/>
    </xf>
    <xf numFmtId="174" fontId="14" fillId="0" borderId="0" applyFont="0" applyFill="0" applyBorder="0" applyAlignment="0" applyProtection="0"/>
    <xf numFmtId="172" fontId="14" fillId="0" borderId="0" applyFont="0" applyFill="0" applyBorder="0" applyAlignment="0" applyProtection="0"/>
    <xf numFmtId="177" fontId="14" fillId="0" borderId="0"/>
    <xf numFmtId="169" fontId="14" fillId="0" borderId="0" applyFont="0" applyFill="0" applyBorder="0" applyAlignment="0" applyProtection="0"/>
    <xf numFmtId="168" fontId="14" fillId="0" borderId="0" applyFont="0" applyFill="0" applyBorder="0" applyAlignment="0" applyProtection="0"/>
    <xf numFmtId="174" fontId="1" fillId="0" borderId="0" applyFont="0" applyFill="0" applyBorder="0" applyAlignment="0" applyProtection="0"/>
    <xf numFmtId="0" fontId="161" fillId="127" borderId="0"/>
    <xf numFmtId="0" fontId="161" fillId="127" borderId="0"/>
    <xf numFmtId="0" fontId="161" fillId="127" borderId="0"/>
    <xf numFmtId="0" fontId="161" fillId="127" borderId="0"/>
    <xf numFmtId="0" fontId="161" fillId="127" borderId="0"/>
    <xf numFmtId="0" fontId="1" fillId="0" borderId="0"/>
    <xf numFmtId="0" fontId="1" fillId="0" borderId="0"/>
    <xf numFmtId="0" fontId="1" fillId="0" borderId="0"/>
    <xf numFmtId="0" fontId="185" fillId="0" borderId="40" applyNumberFormat="0" applyFill="0" applyAlignment="0" applyProtection="0"/>
    <xf numFmtId="0" fontId="187" fillId="0" borderId="0" applyNumberFormat="0" applyFill="0" applyBorder="0" applyAlignment="0" applyProtection="0"/>
    <xf numFmtId="0" fontId="1" fillId="0" borderId="0"/>
    <xf numFmtId="0" fontId="1" fillId="0" borderId="0"/>
    <xf numFmtId="0" fontId="187" fillId="0" borderId="0" applyNumberFormat="0" applyFill="0" applyBorder="0" applyAlignment="0" applyProtection="0"/>
    <xf numFmtId="0" fontId="185" fillId="0" borderId="40" applyNumberFormat="0" applyFill="0" applyAlignment="0" applyProtection="0"/>
    <xf numFmtId="0" fontId="187" fillId="0" borderId="0" applyNumberFormat="0" applyFill="0" applyBorder="0" applyAlignment="0" applyProtection="0"/>
    <xf numFmtId="0" fontId="185" fillId="0" borderId="40" applyNumberFormat="0" applyFill="0" applyAlignment="0" applyProtection="0"/>
    <xf numFmtId="0" fontId="1" fillId="0" borderId="0"/>
    <xf numFmtId="0" fontId="185" fillId="0" borderId="40" applyNumberFormat="0" applyFill="0" applyAlignment="0" applyProtection="0"/>
    <xf numFmtId="0" fontId="187" fillId="0" borderId="0" applyNumberFormat="0" applyFill="0" applyBorder="0" applyAlignment="0" applyProtection="0"/>
    <xf numFmtId="0" fontId="1" fillId="0" borderId="0"/>
    <xf numFmtId="0" fontId="1" fillId="0" borderId="0"/>
    <xf numFmtId="0" fontId="187" fillId="0" borderId="0" applyNumberFormat="0" applyFill="0" applyBorder="0" applyAlignment="0" applyProtection="0"/>
    <xf numFmtId="0" fontId="185" fillId="0" borderId="40" applyNumberFormat="0" applyFill="0" applyAlignment="0" applyProtection="0"/>
    <xf numFmtId="0" fontId="187" fillId="0" borderId="0" applyNumberFormat="0" applyFill="0" applyBorder="0" applyAlignment="0" applyProtection="0"/>
    <xf numFmtId="0" fontId="185" fillId="0" borderId="40" applyNumberFormat="0" applyFill="0" applyAlignment="0" applyProtection="0"/>
    <xf numFmtId="0" fontId="1" fillId="0" borderId="0"/>
    <xf numFmtId="0" fontId="1" fillId="0" borderId="0"/>
    <xf numFmtId="0" fontId="1" fillId="0" borderId="0"/>
    <xf numFmtId="0" fontId="1" fillId="0" borderId="0"/>
    <xf numFmtId="0" fontId="1" fillId="0" borderId="0"/>
    <xf numFmtId="0" fontId="76" fillId="28" borderId="0" applyNumberFormat="0" applyBorder="0" applyAlignment="0" applyProtection="0"/>
    <xf numFmtId="0" fontId="76" fillId="45" borderId="0" applyNumberFormat="0" applyBorder="0" applyAlignment="0" applyProtection="0"/>
    <xf numFmtId="0" fontId="89" fillId="42" borderId="0" applyNumberFormat="0" applyBorder="0" applyAlignment="0" applyProtection="0"/>
    <xf numFmtId="0" fontId="131" fillId="39" borderId="32" applyNumberFormat="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1" fillId="0" borderId="0"/>
    <xf numFmtId="0" fontId="185" fillId="0" borderId="40" applyNumberFormat="0" applyFill="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5" fillId="0" borderId="40" applyNumberFormat="0" applyFill="0" applyAlignment="0" applyProtection="0"/>
    <xf numFmtId="0" fontId="207" fillId="0" borderId="45" applyNumberFormat="0" applyFill="0" applyAlignment="0" applyProtection="0"/>
    <xf numFmtId="0" fontId="207" fillId="43" borderId="0" applyNumberFormat="0" applyBorder="0" applyAlignment="0" applyProtection="0"/>
    <xf numFmtId="0" fontId="1" fillId="0" borderId="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76" fillId="29" borderId="0" applyNumberFormat="0" applyBorder="0" applyAlignment="0" applyProtection="0"/>
    <xf numFmtId="0" fontId="76" fillId="45" borderId="0" applyNumberFormat="0" applyBorder="0" applyAlignment="0" applyProtection="0"/>
    <xf numFmtId="0" fontId="76" fillId="33" borderId="0" applyNumberFormat="0" applyBorder="0" applyAlignment="0" applyProtection="0"/>
    <xf numFmtId="0" fontId="89" fillId="42" borderId="0" applyNumberFormat="0" applyBorder="0" applyAlignment="0" applyProtection="0"/>
    <xf numFmtId="0" fontId="76" fillId="37" borderId="0" applyNumberFormat="0" applyBorder="0" applyAlignment="0" applyProtection="0"/>
    <xf numFmtId="0" fontId="131" fillId="39" borderId="32" applyNumberFormat="0" applyAlignment="0" applyProtection="0"/>
    <xf numFmtId="0" fontId="76" fillId="39" borderId="0" applyNumberFormat="0" applyBorder="0" applyAlignment="0" applyProtection="0"/>
    <xf numFmtId="0" fontId="75" fillId="35" borderId="0" applyNumberFormat="0" applyBorder="0" applyAlignment="0" applyProtection="0"/>
    <xf numFmtId="0" fontId="185" fillId="0" borderId="40" applyNumberFormat="0" applyFill="0" applyAlignment="0" applyProtection="0"/>
    <xf numFmtId="0" fontId="76" fillId="28" borderId="0" applyNumberFormat="0" applyBorder="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76" fillId="45" borderId="0" applyNumberFormat="0" applyBorder="0" applyAlignment="0" applyProtection="0"/>
    <xf numFmtId="0" fontId="207" fillId="0" borderId="45" applyNumberFormat="0" applyFill="0" applyAlignment="0" applyProtection="0"/>
    <xf numFmtId="0" fontId="207" fillId="43" borderId="0" applyNumberFormat="0" applyBorder="0" applyAlignment="0" applyProtection="0"/>
    <xf numFmtId="0" fontId="89" fillId="42" borderId="0" applyNumberFormat="0" applyBorder="0" applyAlignment="0" applyProtection="0"/>
    <xf numFmtId="0" fontId="131" fillId="39" borderId="32" applyNumberFormat="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207" fillId="0" borderId="45" applyNumberFormat="0" applyFill="0" applyAlignment="0" applyProtection="0"/>
    <xf numFmtId="0" fontId="207" fillId="43" borderId="0" applyNumberFormat="0" applyBorder="0" applyAlignment="0" applyProtection="0"/>
    <xf numFmtId="0" fontId="207" fillId="43" borderId="0" applyNumberFormat="0" applyBorder="0" applyAlignment="0" applyProtection="0"/>
    <xf numFmtId="0" fontId="207" fillId="0" borderId="45" applyNumberFormat="0" applyFill="0" applyAlignment="0" applyProtection="0"/>
    <xf numFmtId="0" fontId="187" fillId="0" borderId="0" applyNumberFormat="0" applyFill="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131" fillId="39" borderId="32" applyNumberFormat="0" applyAlignment="0" applyProtection="0"/>
    <xf numFmtId="0" fontId="89" fillId="42" borderId="0" applyNumberFormat="0" applyBorder="0" applyAlignment="0" applyProtection="0"/>
    <xf numFmtId="0" fontId="76" fillId="45" borderId="0" applyNumberFormat="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315" fillId="0" borderId="0" applyNumberFormat="0" applyFill="0" applyBorder="0" applyAlignment="0" applyProtection="0"/>
    <xf numFmtId="0" fontId="76" fillId="29" borderId="0" applyNumberFormat="0" applyBorder="0" applyAlignment="0" applyProtection="0"/>
    <xf numFmtId="0" fontId="76" fillId="45" borderId="0" applyNumberFormat="0" applyBorder="0" applyAlignment="0" applyProtection="0"/>
    <xf numFmtId="0" fontId="76" fillId="33" borderId="0" applyNumberFormat="0" applyBorder="0" applyAlignment="0" applyProtection="0"/>
    <xf numFmtId="0" fontId="89" fillId="42" borderId="0" applyNumberFormat="0" applyBorder="0" applyAlignment="0" applyProtection="0"/>
    <xf numFmtId="0" fontId="76" fillId="37" borderId="0" applyNumberFormat="0" applyBorder="0" applyAlignment="0" applyProtection="0"/>
    <xf numFmtId="0" fontId="131" fillId="39" borderId="32" applyNumberFormat="0" applyAlignment="0" applyProtection="0"/>
    <xf numFmtId="0" fontId="76" fillId="39" borderId="0" applyNumberFormat="0" applyBorder="0" applyAlignment="0" applyProtection="0"/>
    <xf numFmtId="0" fontId="75" fillId="35" borderId="0" applyNumberFormat="0" applyBorder="0" applyAlignment="0" applyProtection="0"/>
    <xf numFmtId="0" fontId="76" fillId="28"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76" fillId="45" borderId="0" applyNumberFormat="0" applyBorder="0" applyAlignment="0" applyProtection="0"/>
    <xf numFmtId="0" fontId="187" fillId="0" borderId="0" applyNumberFormat="0" applyFill="0" applyBorder="0" applyAlignment="0" applyProtection="0"/>
    <xf numFmtId="0" fontId="207" fillId="0" borderId="45" applyNumberFormat="0" applyFill="0" applyAlignment="0" applyProtection="0"/>
    <xf numFmtId="0" fontId="89" fillId="42" borderId="0" applyNumberFormat="0" applyBorder="0" applyAlignment="0" applyProtection="0"/>
    <xf numFmtId="0" fontId="131" fillId="39" borderId="32" applyNumberFormat="0" applyAlignment="0" applyProtection="0"/>
    <xf numFmtId="0" fontId="207" fillId="43" borderId="0" applyNumberFormat="0" applyBorder="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207" fillId="0" borderId="45" applyNumberFormat="0" applyFill="0" applyAlignment="0" applyProtection="0"/>
    <xf numFmtId="0" fontId="207" fillId="43" borderId="0" applyNumberFormat="0" applyBorder="0" applyAlignment="0" applyProtection="0"/>
    <xf numFmtId="0" fontId="207" fillId="43" borderId="0" applyNumberFormat="0" applyBorder="0" applyAlignment="0" applyProtection="0"/>
    <xf numFmtId="0" fontId="207" fillId="0" borderId="45" applyNumberFormat="0" applyFill="0" applyAlignment="0" applyProtection="0"/>
    <xf numFmtId="0" fontId="187" fillId="0" borderId="0" applyNumberFormat="0" applyFill="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131" fillId="39" borderId="32" applyNumberFormat="0" applyAlignment="0" applyProtection="0"/>
    <xf numFmtId="0" fontId="89" fillId="42" borderId="0" applyNumberFormat="0" applyBorder="0" applyAlignment="0" applyProtection="0"/>
    <xf numFmtId="0" fontId="76" fillId="45" borderId="0" applyNumberFormat="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315" fillId="0" borderId="0" applyNumberFormat="0" applyFill="0" applyBorder="0" applyAlignment="0" applyProtection="0"/>
    <xf numFmtId="0" fontId="76" fillId="29" borderId="0" applyNumberFormat="0" applyBorder="0" applyAlignment="0" applyProtection="0"/>
    <xf numFmtId="0" fontId="187" fillId="0" borderId="42" applyNumberFormat="0" applyFill="0" applyAlignment="0" applyProtection="0"/>
    <xf numFmtId="0" fontId="76" fillId="45" borderId="0" applyNumberFormat="0" applyBorder="0" applyAlignment="0" applyProtection="0"/>
    <xf numFmtId="0" fontId="187" fillId="0" borderId="0" applyNumberFormat="0" applyFill="0" applyBorder="0" applyAlignment="0" applyProtection="0"/>
    <xf numFmtId="0" fontId="76" fillId="33" borderId="0" applyNumberFormat="0" applyBorder="0" applyAlignment="0" applyProtection="0"/>
    <xf numFmtId="0" fontId="207" fillId="0" borderId="45" applyNumberFormat="0" applyFill="0" applyAlignment="0" applyProtection="0"/>
    <xf numFmtId="0" fontId="89" fillId="42" borderId="0" applyNumberFormat="0" applyBorder="0" applyAlignment="0" applyProtection="0"/>
    <xf numFmtId="0" fontId="76" fillId="37" borderId="0" applyNumberFormat="0" applyBorder="0" applyAlignment="0" applyProtection="0"/>
    <xf numFmtId="0" fontId="131" fillId="39" borderId="32" applyNumberFormat="0" applyAlignment="0" applyProtection="0"/>
    <xf numFmtId="0" fontId="207" fillId="43" borderId="0" applyNumberFormat="0" applyBorder="0" applyAlignment="0" applyProtection="0"/>
    <xf numFmtId="0" fontId="76" fillId="39" borderId="0" applyNumberFormat="0" applyBorder="0" applyAlignment="0" applyProtection="0"/>
    <xf numFmtId="0" fontId="75" fillId="35" borderId="0" applyNumberFormat="0" applyBorder="0" applyAlignment="0" applyProtection="0"/>
    <xf numFmtId="0" fontId="76" fillId="28"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76" fillId="45" borderId="0" applyNumberFormat="0" applyBorder="0" applyAlignment="0" applyProtection="0"/>
    <xf numFmtId="0" fontId="187" fillId="0" borderId="0" applyNumberFormat="0" applyFill="0" applyBorder="0" applyAlignment="0" applyProtection="0"/>
    <xf numFmtId="0" fontId="207" fillId="0" borderId="45" applyNumberFormat="0" applyFill="0" applyAlignment="0" applyProtection="0"/>
    <xf numFmtId="0" fontId="89" fillId="42" borderId="0" applyNumberFormat="0" applyBorder="0" applyAlignment="0" applyProtection="0"/>
    <xf numFmtId="0" fontId="131" fillId="39" borderId="32" applyNumberFormat="0" applyAlignment="0" applyProtection="0"/>
    <xf numFmtId="0" fontId="207" fillId="43" borderId="0" applyNumberFormat="0" applyBorder="0" applyAlignment="0" applyProtection="0"/>
    <xf numFmtId="0" fontId="1" fillId="0" borderId="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207" fillId="0" borderId="45" applyNumberFormat="0" applyFill="0" applyAlignment="0" applyProtection="0"/>
    <xf numFmtId="0" fontId="207" fillId="43" borderId="0" applyNumberFormat="0" applyBorder="0" applyAlignment="0" applyProtection="0"/>
    <xf numFmtId="0" fontId="207" fillId="43" borderId="0" applyNumberFormat="0" applyBorder="0" applyAlignment="0" applyProtection="0"/>
    <xf numFmtId="0" fontId="207" fillId="0" borderId="45" applyNumberFormat="0" applyFill="0" applyAlignment="0" applyProtection="0"/>
    <xf numFmtId="0" fontId="187" fillId="0" borderId="0" applyNumberFormat="0" applyFill="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207" fillId="43" borderId="0" applyNumberFormat="0" applyBorder="0" applyAlignment="0" applyProtection="0"/>
    <xf numFmtId="0" fontId="131" fillId="39" borderId="32" applyNumberFormat="0" applyAlignment="0" applyProtection="0"/>
    <xf numFmtId="0" fontId="89" fillId="42" borderId="0" applyNumberFormat="0" applyBorder="0" applyAlignment="0" applyProtection="0"/>
    <xf numFmtId="0" fontId="207" fillId="0" borderId="45" applyNumberFormat="0" applyFill="0" applyAlignment="0" applyProtection="0"/>
    <xf numFmtId="0" fontId="187" fillId="0" borderId="0" applyNumberFormat="0" applyFill="0" applyBorder="0" applyAlignment="0" applyProtection="0"/>
    <xf numFmtId="0" fontId="76" fillId="45" borderId="0" applyNumberFormat="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6" fillId="28" borderId="0" applyNumberFormat="0" applyBorder="0" applyAlignment="0" applyProtection="0"/>
    <xf numFmtId="0" fontId="75" fillId="35" borderId="0" applyNumberFormat="0" applyBorder="0" applyAlignment="0" applyProtection="0"/>
    <xf numFmtId="0" fontId="76" fillId="39" borderId="0" applyNumberFormat="0" applyBorder="0" applyAlignment="0" applyProtection="0"/>
    <xf numFmtId="0" fontId="207" fillId="43" borderId="0" applyNumberFormat="0" applyBorder="0" applyAlignment="0" applyProtection="0"/>
    <xf numFmtId="0" fontId="131" fillId="39" borderId="32" applyNumberFormat="0" applyAlignment="0" applyProtection="0"/>
    <xf numFmtId="0" fontId="76" fillId="37" borderId="0" applyNumberFormat="0" applyBorder="0" applyAlignment="0" applyProtection="0"/>
    <xf numFmtId="0" fontId="89" fillId="42" borderId="0" applyNumberFormat="0" applyBorder="0" applyAlignment="0" applyProtection="0"/>
    <xf numFmtId="0" fontId="207" fillId="0" borderId="45" applyNumberFormat="0" applyFill="0" applyAlignment="0" applyProtection="0"/>
    <xf numFmtId="0" fontId="76" fillId="33" borderId="0" applyNumberFormat="0" applyBorder="0" applyAlignment="0" applyProtection="0"/>
    <xf numFmtId="0" fontId="187" fillId="0" borderId="0" applyNumberFormat="0" applyFill="0" applyBorder="0" applyAlignment="0" applyProtection="0"/>
    <xf numFmtId="0" fontId="76" fillId="45" borderId="0" applyNumberFormat="0" applyBorder="0" applyAlignment="0" applyProtection="0"/>
    <xf numFmtId="0" fontId="187" fillId="0" borderId="42" applyNumberFormat="0" applyFill="0" applyAlignment="0" applyProtection="0"/>
    <xf numFmtId="0" fontId="76" fillId="29" borderId="0" applyNumberFormat="0" applyBorder="0" applyAlignment="0" applyProtection="0"/>
    <xf numFmtId="0" fontId="315" fillId="0" borderId="0" applyNumberFormat="0" applyFill="0" applyBorder="0" applyAlignment="0" applyProtection="0"/>
    <xf numFmtId="0" fontId="186" fillId="0" borderId="41" applyNumberFormat="0" applyFill="0" applyAlignment="0" applyProtection="0"/>
    <xf numFmtId="0" fontId="185" fillId="0" borderId="40" applyNumberFormat="0" applyFill="0" applyAlignment="0" applyProtection="0"/>
    <xf numFmtId="0" fontId="76" fillId="28" borderId="0" applyNumberFormat="0" applyBorder="0" applyAlignment="0" applyProtection="0"/>
    <xf numFmtId="0" fontId="75" fillId="35" borderId="0" applyNumberFormat="0" applyBorder="0" applyAlignment="0" applyProtection="0"/>
    <xf numFmtId="0" fontId="76" fillId="39" borderId="0" applyNumberFormat="0" applyBorder="0" applyAlignment="0" applyProtection="0"/>
    <xf numFmtId="0" fontId="131" fillId="39" borderId="32" applyNumberFormat="0" applyAlignment="0" applyProtection="0"/>
    <xf numFmtId="0" fontId="76" fillId="37" borderId="0" applyNumberFormat="0" applyBorder="0" applyAlignment="0" applyProtection="0"/>
    <xf numFmtId="0" fontId="89" fillId="42" borderId="0" applyNumberFormat="0" applyBorder="0" applyAlignment="0" applyProtection="0"/>
    <xf numFmtId="0" fontId="76" fillId="33" borderId="0" applyNumberFormat="0" applyBorder="0" applyAlignment="0" applyProtection="0"/>
    <xf numFmtId="0" fontId="76" fillId="45"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186" fillId="0" borderId="41" applyNumberFormat="0" applyFill="0" applyAlignment="0" applyProtection="0"/>
    <xf numFmtId="0" fontId="185" fillId="0" borderId="40" applyNumberFormat="0" applyFill="0" applyAlignment="0" applyProtection="0"/>
    <xf numFmtId="0" fontId="76" fillId="28" borderId="0" applyNumberFormat="0" applyBorder="0" applyAlignment="0" applyProtection="0"/>
    <xf numFmtId="0" fontId="75" fillId="35" borderId="0" applyNumberFormat="0" applyBorder="0" applyAlignment="0" applyProtection="0"/>
    <xf numFmtId="0" fontId="76" fillId="39" borderId="0" applyNumberFormat="0" applyBorder="0" applyAlignment="0" applyProtection="0"/>
    <xf numFmtId="0" fontId="131" fillId="39" borderId="32" applyNumberFormat="0" applyAlignment="0" applyProtection="0"/>
    <xf numFmtId="0" fontId="76" fillId="37" borderId="0" applyNumberFormat="0" applyBorder="0" applyAlignment="0" applyProtection="0"/>
    <xf numFmtId="0" fontId="89" fillId="42" borderId="0" applyNumberFormat="0" applyBorder="0" applyAlignment="0" applyProtection="0"/>
    <xf numFmtId="0" fontId="76" fillId="33" borderId="0" applyNumberFormat="0" applyBorder="0" applyAlignment="0" applyProtection="0"/>
    <xf numFmtId="0" fontId="76" fillId="45"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315" fillId="0" borderId="0" applyNumberFormat="0" applyFill="0" applyBorder="0" applyAlignment="0" applyProtection="0"/>
    <xf numFmtId="0" fontId="76" fillId="29" borderId="0" applyNumberFormat="0" applyBorder="0" applyAlignment="0" applyProtection="0"/>
    <xf numFmtId="0" fontId="76" fillId="45" borderId="0" applyNumberFormat="0" applyBorder="0" applyAlignment="0" applyProtection="0"/>
    <xf numFmtId="0" fontId="76" fillId="33" borderId="0" applyNumberFormat="0" applyBorder="0" applyAlignment="0" applyProtection="0"/>
    <xf numFmtId="0" fontId="89" fillId="42" borderId="0" applyNumberFormat="0" applyBorder="0" applyAlignment="0" applyProtection="0"/>
    <xf numFmtId="0" fontId="76" fillId="37" borderId="0" applyNumberFormat="0" applyBorder="0" applyAlignment="0" applyProtection="0"/>
    <xf numFmtId="0" fontId="131" fillId="39" borderId="32" applyNumberFormat="0" applyAlignment="0" applyProtection="0"/>
    <xf numFmtId="0" fontId="76" fillId="39" borderId="0" applyNumberFormat="0" applyBorder="0" applyAlignment="0" applyProtection="0"/>
    <xf numFmtId="0" fontId="75" fillId="35" borderId="0" applyNumberFormat="0" applyBorder="0" applyAlignment="0" applyProtection="0"/>
    <xf numFmtId="0" fontId="76" fillId="28"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76" fillId="45" borderId="0" applyNumberFormat="0" applyBorder="0" applyAlignment="0" applyProtection="0"/>
    <xf numFmtId="0" fontId="187" fillId="0" borderId="0" applyNumberFormat="0" applyFill="0" applyBorder="0" applyAlignment="0" applyProtection="0"/>
    <xf numFmtId="0" fontId="207" fillId="0" borderId="45" applyNumberFormat="0" applyFill="0" applyAlignment="0" applyProtection="0"/>
    <xf numFmtId="0" fontId="89" fillId="42" borderId="0" applyNumberFormat="0" applyBorder="0" applyAlignment="0" applyProtection="0"/>
    <xf numFmtId="0" fontId="131" fillId="39" borderId="32" applyNumberFormat="0" applyAlignment="0" applyProtection="0"/>
    <xf numFmtId="0" fontId="207" fillId="43" borderId="0" applyNumberFormat="0" applyBorder="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207" fillId="0" borderId="45" applyNumberFormat="0" applyFill="0" applyAlignment="0" applyProtection="0"/>
    <xf numFmtId="0" fontId="207" fillId="43" borderId="0" applyNumberFormat="0" applyBorder="0" applyAlignment="0" applyProtection="0"/>
    <xf numFmtId="0" fontId="207" fillId="43" borderId="0" applyNumberFormat="0" applyBorder="0" applyAlignment="0" applyProtection="0"/>
    <xf numFmtId="0" fontId="207" fillId="0" borderId="45" applyNumberFormat="0" applyFill="0" applyAlignment="0" applyProtection="0"/>
    <xf numFmtId="0" fontId="187" fillId="0" borderId="0" applyNumberFormat="0" applyFill="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207" fillId="43" borderId="0" applyNumberFormat="0" applyBorder="0" applyAlignment="0" applyProtection="0"/>
    <xf numFmtId="0" fontId="131" fillId="39" borderId="32" applyNumberFormat="0" applyAlignment="0" applyProtection="0"/>
    <xf numFmtId="0" fontId="89" fillId="42" borderId="0" applyNumberFormat="0" applyBorder="0" applyAlignment="0" applyProtection="0"/>
    <xf numFmtId="0" fontId="207" fillId="0" borderId="45" applyNumberFormat="0" applyFill="0" applyAlignment="0" applyProtection="0"/>
    <xf numFmtId="0" fontId="187" fillId="0" borderId="0" applyNumberFormat="0" applyFill="0" applyBorder="0" applyAlignment="0" applyProtection="0"/>
    <xf numFmtId="0" fontId="76" fillId="45" borderId="0" applyNumberFormat="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6" fillId="28" borderId="0" applyNumberFormat="0" applyBorder="0" applyAlignment="0" applyProtection="0"/>
    <xf numFmtId="0" fontId="75" fillId="35" borderId="0" applyNumberFormat="0" applyBorder="0" applyAlignment="0" applyProtection="0"/>
    <xf numFmtId="0" fontId="76" fillId="39" borderId="0" applyNumberFormat="0" applyBorder="0" applyAlignment="0" applyProtection="0"/>
    <xf numFmtId="0" fontId="131" fillId="39" borderId="32" applyNumberFormat="0" applyAlignment="0" applyProtection="0"/>
    <xf numFmtId="0" fontId="76" fillId="37" borderId="0" applyNumberFormat="0" applyBorder="0" applyAlignment="0" applyProtection="0"/>
    <xf numFmtId="0" fontId="89" fillId="42" borderId="0" applyNumberFormat="0" applyBorder="0" applyAlignment="0" applyProtection="0"/>
    <xf numFmtId="0" fontId="76" fillId="33" borderId="0" applyNumberFormat="0" applyBorder="0" applyAlignment="0" applyProtection="0"/>
    <xf numFmtId="0" fontId="76" fillId="45"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1" fillId="0" borderId="0"/>
    <xf numFmtId="0" fontId="315" fillId="0" borderId="0" applyNumberFormat="0" applyFill="0" applyBorder="0" applyAlignment="0" applyProtection="0"/>
    <xf numFmtId="0" fontId="76" fillId="29" borderId="0" applyNumberFormat="0" applyBorder="0" applyAlignment="0" applyProtection="0"/>
    <xf numFmtId="0" fontId="76" fillId="45" borderId="0" applyNumberFormat="0" applyBorder="0" applyAlignment="0" applyProtection="0"/>
    <xf numFmtId="0" fontId="76" fillId="33" borderId="0" applyNumberFormat="0" applyBorder="0" applyAlignment="0" applyProtection="0"/>
    <xf numFmtId="0" fontId="89" fillId="42" borderId="0" applyNumberFormat="0" applyBorder="0" applyAlignment="0" applyProtection="0"/>
    <xf numFmtId="0" fontId="76" fillId="37" borderId="0" applyNumberFormat="0" applyBorder="0" applyAlignment="0" applyProtection="0"/>
    <xf numFmtId="0" fontId="131" fillId="39" borderId="32" applyNumberFormat="0" applyAlignment="0" applyProtection="0"/>
    <xf numFmtId="0" fontId="76" fillId="39" borderId="0" applyNumberFormat="0" applyBorder="0" applyAlignment="0" applyProtection="0"/>
    <xf numFmtId="0" fontId="75" fillId="35" borderId="0" applyNumberFormat="0" applyBorder="0" applyAlignment="0" applyProtection="0"/>
    <xf numFmtId="0" fontId="76" fillId="28"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76" fillId="45" borderId="0" applyNumberFormat="0" applyBorder="0" applyAlignment="0" applyProtection="0"/>
    <xf numFmtId="0" fontId="187" fillId="0" borderId="0" applyNumberFormat="0" applyFill="0" applyBorder="0" applyAlignment="0" applyProtection="0"/>
    <xf numFmtId="0" fontId="1" fillId="0" borderId="0"/>
    <xf numFmtId="0" fontId="207" fillId="0" borderId="45" applyNumberFormat="0" applyFill="0" applyAlignment="0" applyProtection="0"/>
    <xf numFmtId="0" fontId="89" fillId="42" borderId="0" applyNumberFormat="0" applyBorder="0" applyAlignment="0" applyProtection="0"/>
    <xf numFmtId="0" fontId="131" fillId="39" borderId="32" applyNumberFormat="0" applyAlignment="0" applyProtection="0"/>
    <xf numFmtId="0" fontId="207" fillId="43" borderId="0" applyNumberFormat="0" applyBorder="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207" fillId="0" borderId="45" applyNumberFormat="0" applyFill="0" applyAlignment="0" applyProtection="0"/>
    <xf numFmtId="0" fontId="207" fillId="43" borderId="0" applyNumberFormat="0" applyBorder="0" applyAlignment="0" applyProtection="0"/>
    <xf numFmtId="0" fontId="207" fillId="43" borderId="0" applyNumberFormat="0" applyBorder="0" applyAlignment="0" applyProtection="0"/>
    <xf numFmtId="0" fontId="207" fillId="0" borderId="45" applyNumberFormat="0" applyFill="0" applyAlignment="0" applyProtection="0"/>
    <xf numFmtId="0" fontId="187" fillId="0" borderId="0" applyNumberFormat="0" applyFill="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131" fillId="39" borderId="32" applyNumberFormat="0" applyAlignment="0" applyProtection="0"/>
    <xf numFmtId="0" fontId="89" fillId="42" borderId="0" applyNumberFormat="0" applyBorder="0" applyAlignment="0" applyProtection="0"/>
    <xf numFmtId="0" fontId="76" fillId="45" borderId="0" applyNumberFormat="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315" fillId="0" borderId="0" applyNumberFormat="0" applyFill="0" applyBorder="0" applyAlignment="0" applyProtection="0"/>
    <xf numFmtId="0" fontId="315" fillId="0" borderId="0" applyNumberFormat="0" applyFill="0" applyBorder="0" applyAlignment="0" applyProtection="0"/>
    <xf numFmtId="0" fontId="76" fillId="29" borderId="0" applyNumberFormat="0" applyBorder="0" applyAlignment="0" applyProtection="0"/>
    <xf numFmtId="0" fontId="76" fillId="33" borderId="0" applyNumberFormat="0" applyBorder="0" applyAlignment="0" applyProtection="0"/>
    <xf numFmtId="0" fontId="76" fillId="37" borderId="0" applyNumberFormat="0" applyBorder="0" applyAlignment="0" applyProtection="0"/>
    <xf numFmtId="0" fontId="76" fillId="39" borderId="0" applyNumberFormat="0" applyBorder="0" applyAlignment="0" applyProtection="0"/>
    <xf numFmtId="0" fontId="76" fillId="28" borderId="0" applyNumberFormat="0" applyBorder="0" applyAlignment="0" applyProtection="0"/>
    <xf numFmtId="0" fontId="76" fillId="45" borderId="0" applyNumberFormat="0" applyBorder="0" applyAlignment="0" applyProtection="0"/>
    <xf numFmtId="0" fontId="89" fillId="42" borderId="0" applyNumberFormat="0" applyBorder="0" applyAlignment="0" applyProtection="0"/>
    <xf numFmtId="0" fontId="131" fillId="39" borderId="32" applyNumberFormat="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207" fillId="0" borderId="45" applyNumberFormat="0" applyFill="0" applyAlignment="0" applyProtection="0"/>
    <xf numFmtId="0" fontId="207" fillId="43" borderId="0" applyNumberFormat="0" applyBorder="0" applyAlignment="0" applyProtection="0"/>
    <xf numFmtId="0" fontId="315" fillId="0" borderId="0" applyNumberFormat="0" applyFill="0" applyBorder="0" applyAlignment="0" applyProtection="0"/>
    <xf numFmtId="0" fontId="76" fillId="29" borderId="0" applyNumberFormat="0" applyBorder="0" applyAlignment="0" applyProtection="0"/>
    <xf numFmtId="0" fontId="76" fillId="33" borderId="0" applyNumberFormat="0" applyBorder="0" applyAlignment="0" applyProtection="0"/>
    <xf numFmtId="0" fontId="76" fillId="37" borderId="0" applyNumberFormat="0" applyBorder="0" applyAlignment="0" applyProtection="0"/>
    <xf numFmtId="0" fontId="76" fillId="39" borderId="0" applyNumberFormat="0" applyBorder="0" applyAlignment="0" applyProtection="0"/>
    <xf numFmtId="0" fontId="76" fillId="28" borderId="0" applyNumberFormat="0" applyBorder="0" applyAlignment="0" applyProtection="0"/>
    <xf numFmtId="0" fontId="76" fillId="45" borderId="0" applyNumberFormat="0" applyBorder="0" applyAlignment="0" applyProtection="0"/>
    <xf numFmtId="0" fontId="89" fillId="42" borderId="0" applyNumberFormat="0" applyBorder="0" applyAlignment="0" applyProtection="0"/>
    <xf numFmtId="0" fontId="123" fillId="51" borderId="30" applyNumberFormat="0" applyAlignment="0" applyProtection="0"/>
    <xf numFmtId="0" fontId="131" fillId="39" borderId="32" applyNumberFormat="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193" fillId="43" borderId="30" applyNumberFormat="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168" fillId="0" borderId="67" applyNumberFormat="0" applyFill="0" applyAlignment="0" applyProtection="0"/>
    <xf numFmtId="0" fontId="315" fillId="0" borderId="0" applyNumberFormat="0" applyFill="0" applyBorder="0" applyAlignment="0" applyProtection="0"/>
    <xf numFmtId="0" fontId="76" fillId="29" borderId="0" applyNumberFormat="0" applyBorder="0" applyAlignment="0" applyProtection="0"/>
    <xf numFmtId="0" fontId="89" fillId="42" borderId="0" applyNumberFormat="0" applyBorder="0" applyAlignment="0" applyProtection="0"/>
    <xf numFmtId="0" fontId="76" fillId="33" borderId="0" applyNumberFormat="0" applyBorder="0" applyAlignment="0" applyProtection="0"/>
    <xf numFmtId="0" fontId="76" fillId="45" borderId="0" applyNumberFormat="0" applyBorder="0" applyAlignment="0" applyProtection="0"/>
    <xf numFmtId="0" fontId="76" fillId="37" borderId="0" applyNumberFormat="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45" borderId="0" applyNumberFormat="0" applyBorder="0" applyAlignment="0" applyProtection="0"/>
    <xf numFmtId="0" fontId="76" fillId="37" borderId="0" applyNumberFormat="0" applyBorder="0" applyAlignment="0" applyProtection="0"/>
    <xf numFmtId="0" fontId="89" fillId="42" borderId="0" applyNumberFormat="0" applyBorder="0" applyAlignment="0" applyProtection="0"/>
    <xf numFmtId="0" fontId="123" fillId="51" borderId="30" applyNumberFormat="0" applyAlignment="0" applyProtection="0"/>
    <xf numFmtId="0" fontId="131" fillId="39" borderId="32" applyNumberFormat="0" applyAlignment="0" applyProtection="0"/>
    <xf numFmtId="0" fontId="76" fillId="33" borderId="0" applyNumberFormat="0" applyBorder="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193" fillId="43" borderId="30" applyNumberFormat="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23" fillId="51" borderId="30" applyNumberFormat="0" applyAlignment="0" applyProtection="0"/>
    <xf numFmtId="0" fontId="131" fillId="39" borderId="32" applyNumberFormat="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193" fillId="43" borderId="30" applyNumberFormat="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227" fillId="51" borderId="15" applyNumberFormat="0" applyAlignment="0" applyProtection="0"/>
    <xf numFmtId="0" fontId="161" fillId="42" borderId="30" applyNumberFormat="0" applyFont="0" applyAlignment="0" applyProtection="0"/>
    <xf numFmtId="0" fontId="207" fillId="43" borderId="0" applyNumberFormat="0" applyBorder="0" applyAlignment="0" applyProtection="0"/>
    <xf numFmtId="0" fontId="207" fillId="0" borderId="45" applyNumberFormat="0" applyFill="0" applyAlignment="0" applyProtection="0"/>
    <xf numFmtId="0" fontId="193" fillId="43" borderId="30" applyNumberFormat="0" applyAlignment="0" applyProtection="0"/>
    <xf numFmtId="0" fontId="187" fillId="0" borderId="0" applyNumberFormat="0" applyFill="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131" fillId="39" borderId="32" applyNumberFormat="0" applyAlignment="0" applyProtection="0"/>
    <xf numFmtId="0" fontId="123" fillId="51" borderId="30" applyNumberFormat="0" applyAlignment="0" applyProtection="0"/>
    <xf numFmtId="0" fontId="89" fillId="42" borderId="0" applyNumberFormat="0" applyBorder="0" applyAlignment="0" applyProtection="0"/>
    <xf numFmtId="0" fontId="76" fillId="45" borderId="0" applyNumberFormat="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29" borderId="0" applyNumberFormat="0" applyBorder="0" applyAlignment="0" applyProtection="0"/>
    <xf numFmtId="0" fontId="76" fillId="45" borderId="0" applyNumberFormat="0" applyBorder="0" applyAlignment="0" applyProtection="0"/>
    <xf numFmtId="0" fontId="76" fillId="33" borderId="0" applyNumberFormat="0" applyBorder="0" applyAlignment="0" applyProtection="0"/>
    <xf numFmtId="0" fontId="89" fillId="42" borderId="0" applyNumberFormat="0" applyBorder="0" applyAlignment="0" applyProtection="0"/>
    <xf numFmtId="0" fontId="76" fillId="37" borderId="0" applyNumberFormat="0" applyBorder="0" applyAlignment="0" applyProtection="0"/>
    <xf numFmtId="0" fontId="123" fillId="51" borderId="30" applyNumberFormat="0" applyAlignment="0" applyProtection="0"/>
    <xf numFmtId="0" fontId="131" fillId="39" borderId="32" applyNumberFormat="0" applyAlignment="0" applyProtection="0"/>
    <xf numFmtId="0" fontId="76" fillId="39" borderId="0" applyNumberFormat="0" applyBorder="0" applyAlignment="0" applyProtection="0"/>
    <xf numFmtId="0" fontId="75" fillId="35" borderId="0" applyNumberFormat="0" applyBorder="0" applyAlignment="0" applyProtection="0"/>
    <xf numFmtId="0" fontId="76" fillId="28"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76" fillId="45" borderId="0" applyNumberFormat="0" applyBorder="0" applyAlignment="0" applyProtection="0"/>
    <xf numFmtId="0" fontId="187" fillId="0" borderId="0" applyNumberFormat="0" applyFill="0" applyBorder="0" applyAlignment="0" applyProtection="0"/>
    <xf numFmtId="0" fontId="193" fillId="43" borderId="30" applyNumberFormat="0" applyAlignment="0" applyProtection="0"/>
    <xf numFmtId="0" fontId="207" fillId="0" borderId="45" applyNumberFormat="0" applyFill="0" applyAlignment="0" applyProtection="0"/>
    <xf numFmtId="0" fontId="89" fillId="42" borderId="0" applyNumberFormat="0" applyBorder="0" applyAlignment="0" applyProtection="0"/>
    <xf numFmtId="0" fontId="123" fillId="51" borderId="30" applyNumberFormat="0" applyAlignment="0" applyProtection="0"/>
    <xf numFmtId="0" fontId="131" fillId="39" borderId="32" applyNumberFormat="0" applyAlignment="0" applyProtection="0"/>
    <xf numFmtId="0" fontId="207" fillId="43"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193" fillId="43" borderId="30" applyNumberFormat="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227" fillId="51" borderId="15" applyNumberFormat="0" applyAlignment="0" applyProtection="0"/>
    <xf numFmtId="0" fontId="227" fillId="51" borderId="15" applyNumberFormat="0" applyAlignment="0" applyProtection="0"/>
    <xf numFmtId="0" fontId="161" fillId="42" borderId="30" applyNumberFormat="0" applyFont="0" applyAlignment="0" applyProtection="0"/>
    <xf numFmtId="0" fontId="207" fillId="43" borderId="0" applyNumberFormat="0" applyBorder="0" applyAlignment="0" applyProtection="0"/>
    <xf numFmtId="0" fontId="207" fillId="0" borderId="45" applyNumberFormat="0" applyFill="0" applyAlignment="0" applyProtection="0"/>
    <xf numFmtId="0" fontId="193" fillId="43" borderId="30" applyNumberFormat="0" applyAlignment="0" applyProtection="0"/>
    <xf numFmtId="0" fontId="187" fillId="0" borderId="0" applyNumberFormat="0" applyFill="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161" fillId="42" borderId="30" applyNumberFormat="0" applyFont="0" applyAlignment="0" applyProtection="0"/>
    <xf numFmtId="0" fontId="207" fillId="43" borderId="0" applyNumberFormat="0" applyBorder="0" applyAlignment="0" applyProtection="0"/>
    <xf numFmtId="0" fontId="207" fillId="0" borderId="45" applyNumberFormat="0" applyFill="0" applyAlignment="0" applyProtection="0"/>
    <xf numFmtId="0" fontId="131" fillId="39" borderId="32" applyNumberFormat="0" applyAlignment="0" applyProtection="0"/>
    <xf numFmtId="0" fontId="123" fillId="51" borderId="30" applyNumberFormat="0" applyAlignment="0" applyProtection="0"/>
    <xf numFmtId="0" fontId="89" fillId="42" borderId="0" applyNumberFormat="0" applyBorder="0" applyAlignment="0" applyProtection="0"/>
    <xf numFmtId="0" fontId="193" fillId="43" borderId="30" applyNumberFormat="0" applyAlignment="0" applyProtection="0"/>
    <xf numFmtId="0" fontId="187" fillId="0" borderId="0" applyNumberFormat="0" applyFill="0" applyBorder="0" applyAlignment="0" applyProtection="0"/>
    <xf numFmtId="0" fontId="187" fillId="0" borderId="42" applyNumberFormat="0" applyFill="0" applyAlignment="0" applyProtection="0"/>
    <xf numFmtId="0" fontId="76" fillId="45" borderId="0" applyNumberFormat="0" applyBorder="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76" fillId="28" borderId="0" applyNumberFormat="0" applyBorder="0" applyAlignment="0" applyProtection="0"/>
    <xf numFmtId="0" fontId="76" fillId="39" borderId="0" applyNumberFormat="0" applyBorder="0" applyAlignment="0" applyProtection="0"/>
    <xf numFmtId="0" fontId="131" fillId="39" borderId="32" applyNumberFormat="0" applyAlignment="0" applyProtection="0"/>
    <xf numFmtId="0" fontId="123" fillId="51" borderId="30" applyNumberFormat="0" applyAlignment="0" applyProtection="0"/>
    <xf numFmtId="0" fontId="89" fillId="42"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45"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 fillId="0" borderId="0"/>
    <xf numFmtId="0" fontId="76" fillId="29" borderId="0" applyNumberFormat="0" applyBorder="0" applyAlignment="0" applyProtection="0"/>
    <xf numFmtId="0" fontId="131" fillId="39" borderId="32" applyNumberFormat="0" applyAlignment="0" applyProtection="0"/>
    <xf numFmtId="0" fontId="193" fillId="43" borderId="30" applyNumberFormat="0" applyAlignment="0" applyProtection="0"/>
    <xf numFmtId="0" fontId="187" fillId="0" borderId="0" applyNumberFormat="0" applyFill="0" applyBorder="0" applyAlignment="0" applyProtection="0"/>
    <xf numFmtId="0" fontId="76" fillId="33" borderId="0" applyNumberFormat="0" applyBorder="0" applyAlignment="0" applyProtection="0"/>
    <xf numFmtId="0" fontId="187" fillId="0" borderId="42" applyNumberFormat="0" applyFill="0" applyAlignment="0" applyProtection="0"/>
    <xf numFmtId="0" fontId="75" fillId="35" borderId="0" applyNumberFormat="0" applyBorder="0" applyAlignment="0" applyProtection="0"/>
    <xf numFmtId="0" fontId="185" fillId="0" borderId="40" applyNumberFormat="0" applyFill="0" applyAlignment="0" applyProtection="0"/>
    <xf numFmtId="0" fontId="76" fillId="37" borderId="0" applyNumberFormat="0" applyBorder="0" applyAlignment="0" applyProtection="0"/>
    <xf numFmtId="0" fontId="186" fillId="0" borderId="41" applyNumberFormat="0" applyFill="0" applyAlignment="0" applyProtection="0"/>
    <xf numFmtId="0" fontId="227" fillId="51" borderId="15" applyNumberFormat="0" applyAlignment="0" applyProtection="0"/>
    <xf numFmtId="0" fontId="161" fillId="42" borderId="30" applyNumberFormat="0" applyFont="0" applyAlignment="0" applyProtection="0"/>
    <xf numFmtId="0" fontId="76" fillId="39" borderId="0" applyNumberFormat="0" applyBorder="0" applyAlignment="0" applyProtection="0"/>
    <xf numFmtId="0" fontId="207" fillId="43" borderId="0" applyNumberFormat="0" applyBorder="0" applyAlignment="0" applyProtection="0"/>
    <xf numFmtId="0" fontId="207" fillId="0" borderId="45" applyNumberFormat="0" applyFill="0" applyAlignment="0" applyProtection="0"/>
    <xf numFmtId="0" fontId="193" fillId="43" borderId="30" applyNumberFormat="0" applyAlignment="0" applyProtection="0"/>
    <xf numFmtId="0" fontId="76" fillId="28" borderId="0" applyNumberFormat="0" applyBorder="0" applyAlignment="0" applyProtection="0"/>
    <xf numFmtId="0" fontId="187" fillId="0" borderId="0" applyNumberFormat="0" applyFill="0" applyBorder="0" applyAlignment="0" applyProtection="0"/>
    <xf numFmtId="0" fontId="187" fillId="0" borderId="42" applyNumberFormat="0" applyFill="0" applyAlignment="0" applyProtection="0"/>
    <xf numFmtId="0" fontId="186" fillId="0" borderId="41" applyNumberFormat="0" applyFill="0" applyAlignment="0" applyProtection="0"/>
    <xf numFmtId="0" fontId="76" fillId="45" borderId="0" applyNumberFormat="0" applyBorder="0" applyAlignment="0" applyProtection="0"/>
    <xf numFmtId="0" fontId="185" fillId="0" borderId="40" applyNumberFormat="0" applyFill="0" applyAlignment="0" applyProtection="0"/>
    <xf numFmtId="0" fontId="75" fillId="35" borderId="0" applyNumberFormat="0" applyBorder="0" applyAlignment="0" applyProtection="0"/>
    <xf numFmtId="0" fontId="187" fillId="0" borderId="42" applyNumberFormat="0" applyFill="0" applyAlignment="0" applyProtection="0"/>
    <xf numFmtId="0" fontId="89" fillId="42" borderId="0" applyNumberFormat="0" applyBorder="0" applyAlignment="0" applyProtection="0"/>
    <xf numFmtId="0" fontId="123" fillId="51" borderId="30" applyNumberFormat="0" applyAlignment="0" applyProtection="0"/>
    <xf numFmtId="0" fontId="131" fillId="39" borderId="32" applyNumberFormat="0" applyAlignment="0" applyProtection="0"/>
    <xf numFmtId="0" fontId="187" fillId="0" borderId="0" applyNumberFormat="0" applyFill="0" applyBorder="0" applyAlignment="0" applyProtection="0"/>
    <xf numFmtId="0" fontId="193" fillId="43" borderId="30" applyNumberFormat="0" applyAlignment="0" applyProtection="0"/>
    <xf numFmtId="0" fontId="131" fillId="39" borderId="32" applyNumberFormat="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193" fillId="43" borderId="30" applyNumberFormat="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123" fillId="51" borderId="30" applyNumberFormat="0" applyAlignment="0" applyProtection="0"/>
    <xf numFmtId="0" fontId="89" fillId="42" borderId="0" applyNumberFormat="0" applyBorder="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76" fillId="45" borderId="0" applyNumberFormat="0" applyBorder="0" applyAlignment="0" applyProtection="0"/>
    <xf numFmtId="0" fontId="227" fillId="51" borderId="15" applyNumberFormat="0" applyAlignment="0" applyProtection="0"/>
    <xf numFmtId="0" fontId="186" fillId="0" borderId="41" applyNumberFormat="0" applyFill="0" applyAlignment="0" applyProtection="0"/>
    <xf numFmtId="0" fontId="185" fillId="0" borderId="40" applyNumberFormat="0" applyFill="0" applyAlignment="0" applyProtection="0"/>
    <xf numFmtId="0" fontId="76" fillId="28" borderId="0" applyNumberFormat="0" applyBorder="0" applyAlignment="0" applyProtection="0"/>
    <xf numFmtId="0" fontId="75" fillId="35" borderId="0" applyNumberFormat="0" applyBorder="0" applyAlignment="0" applyProtection="0"/>
    <xf numFmtId="0" fontId="76" fillId="39" borderId="0" applyNumberFormat="0" applyBorder="0" applyAlignment="0" applyProtection="0"/>
    <xf numFmtId="0" fontId="131" fillId="39" borderId="32" applyNumberFormat="0" applyAlignment="0" applyProtection="0"/>
    <xf numFmtId="0" fontId="123" fillId="51" borderId="30" applyNumberFormat="0" applyAlignment="0" applyProtection="0"/>
    <xf numFmtId="0" fontId="76" fillId="37" borderId="0" applyNumberFormat="0" applyBorder="0" applyAlignment="0" applyProtection="0"/>
    <xf numFmtId="0" fontId="89" fillId="42" borderId="0" applyNumberFormat="0" applyBorder="0" applyAlignment="0" applyProtection="0"/>
    <xf numFmtId="0" fontId="76" fillId="33" borderId="0" applyNumberFormat="0" applyBorder="0" applyAlignment="0" applyProtection="0"/>
    <xf numFmtId="0" fontId="76" fillId="45"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23" fillId="51" borderId="30" applyNumberFormat="0" applyAlignment="0" applyProtection="0"/>
    <xf numFmtId="0" fontId="89" fillId="42" borderId="0" applyNumberFormat="0" applyBorder="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76" fillId="45" borderId="0" applyNumberFormat="0" applyBorder="0" applyAlignment="0" applyProtection="0"/>
    <xf numFmtId="0" fontId="227" fillId="51" borderId="15" applyNumberFormat="0" applyAlignment="0" applyProtection="0"/>
    <xf numFmtId="0" fontId="227" fillId="51" borderId="15" applyNumberFormat="0" applyAlignment="0" applyProtection="0"/>
    <xf numFmtId="0" fontId="76" fillId="28" borderId="0" applyNumberFormat="0" applyBorder="0" applyAlignment="0" applyProtection="0"/>
    <xf numFmtId="0" fontId="161" fillId="42" borderId="30" applyNumberFormat="0" applyFont="0" applyAlignment="0" applyProtection="0"/>
    <xf numFmtId="0" fontId="207" fillId="43" borderId="0" applyNumberFormat="0" applyBorder="0" applyAlignment="0" applyProtection="0"/>
    <xf numFmtId="0" fontId="207" fillId="0" borderId="45" applyNumberFormat="0" applyFill="0" applyAlignment="0" applyProtection="0"/>
    <xf numFmtId="0" fontId="76" fillId="39" borderId="0" applyNumberFormat="0" applyBorder="0" applyAlignment="0" applyProtection="0"/>
    <xf numFmtId="0" fontId="193" fillId="43" borderId="30" applyNumberFormat="0" applyAlignment="0" applyProtection="0"/>
    <xf numFmtId="0" fontId="187" fillId="0" borderId="0" applyNumberFormat="0" applyFill="0" applyBorder="0" applyAlignment="0" applyProtection="0"/>
    <xf numFmtId="0" fontId="187" fillId="0" borderId="42" applyNumberFormat="0" applyFill="0" applyAlignment="0" applyProtection="0"/>
    <xf numFmtId="0" fontId="76" fillId="37" borderId="0" applyNumberFormat="0" applyBorder="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31" fillId="39" borderId="32" applyNumberFormat="0" applyAlignment="0" applyProtection="0"/>
    <xf numFmtId="0" fontId="123" fillId="51" borderId="30" applyNumberFormat="0" applyAlignment="0" applyProtection="0"/>
    <xf numFmtId="0" fontId="89" fillId="42" borderId="0" applyNumberFormat="0" applyBorder="0" applyAlignment="0" applyProtection="0"/>
    <xf numFmtId="0" fontId="76" fillId="45" borderId="0" applyNumberFormat="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 fillId="0" borderId="0"/>
    <xf numFmtId="0" fontId="76" fillId="29" borderId="0" applyNumberFormat="0" applyBorder="0" applyAlignment="0" applyProtection="0"/>
    <xf numFmtId="0" fontId="76" fillId="45" borderId="0" applyNumberFormat="0" applyBorder="0" applyAlignment="0" applyProtection="0"/>
    <xf numFmtId="0" fontId="76" fillId="33" borderId="0" applyNumberFormat="0" applyBorder="0" applyAlignment="0" applyProtection="0"/>
    <xf numFmtId="0" fontId="227" fillId="51" borderId="15" applyNumberFormat="0" applyAlignment="0" applyProtection="0"/>
    <xf numFmtId="0" fontId="89" fillId="42" borderId="0" applyNumberFormat="0" applyBorder="0" applyAlignment="0" applyProtection="0"/>
    <xf numFmtId="0" fontId="76" fillId="37" borderId="0" applyNumberFormat="0" applyBorder="0" applyAlignment="0" applyProtection="0"/>
    <xf numFmtId="0" fontId="123" fillId="51" borderId="30" applyNumberFormat="0" applyAlignment="0" applyProtection="0"/>
    <xf numFmtId="0" fontId="131" fillId="39" borderId="32" applyNumberFormat="0" applyAlignment="0" applyProtection="0"/>
    <xf numFmtId="0" fontId="161" fillId="42" borderId="30" applyNumberFormat="0" applyFont="0" applyAlignment="0" applyProtection="0"/>
    <xf numFmtId="0" fontId="76" fillId="39" borderId="0" applyNumberFormat="0" applyBorder="0" applyAlignment="0" applyProtection="0"/>
    <xf numFmtId="0" fontId="207" fillId="43" borderId="0" applyNumberFormat="0" applyBorder="0" applyAlignment="0" applyProtection="0"/>
    <xf numFmtId="0" fontId="207" fillId="0" borderId="45" applyNumberFormat="0" applyFill="0" applyAlignment="0" applyProtection="0"/>
    <xf numFmtId="0" fontId="75" fillId="35" borderId="0" applyNumberFormat="0" applyBorder="0" applyAlignment="0" applyProtection="0"/>
    <xf numFmtId="0" fontId="76" fillId="28"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76" fillId="45" borderId="0" applyNumberFormat="0" applyBorder="0" applyAlignment="0" applyProtection="0"/>
    <xf numFmtId="0" fontId="187" fillId="0" borderId="0" applyNumberFormat="0" applyFill="0" applyBorder="0" applyAlignment="0" applyProtection="0"/>
    <xf numFmtId="0" fontId="193" fillId="43" borderId="30" applyNumberFormat="0" applyAlignment="0" applyProtection="0"/>
    <xf numFmtId="0" fontId="227" fillId="51" borderId="15" applyNumberFormat="0" applyAlignment="0" applyProtection="0"/>
    <xf numFmtId="0" fontId="89" fillId="42" borderId="0" applyNumberFormat="0" applyBorder="0" applyAlignment="0" applyProtection="0"/>
    <xf numFmtId="0" fontId="123" fillId="51" borderId="30" applyNumberFormat="0" applyAlignment="0" applyProtection="0"/>
    <xf numFmtId="0" fontId="131" fillId="39" borderId="32" applyNumberFormat="0" applyAlignment="0" applyProtection="0"/>
    <xf numFmtId="0" fontId="161" fillId="42" borderId="30" applyNumberFormat="0" applyFont="0" applyAlignment="0" applyProtection="0"/>
    <xf numFmtId="0" fontId="207" fillId="43" borderId="0" applyNumberFormat="0" applyBorder="0" applyAlignment="0" applyProtection="0"/>
    <xf numFmtId="0" fontId="207" fillId="0" borderId="45" applyNumberFormat="0" applyFill="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193" fillId="43" borderId="30" applyNumberFormat="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193" fillId="43" borderId="30" applyNumberFormat="0" applyAlignment="0" applyProtection="0"/>
    <xf numFmtId="0" fontId="187" fillId="0" borderId="0" applyNumberFormat="0" applyFill="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131" fillId="39" borderId="32" applyNumberFormat="0" applyAlignment="0" applyProtection="0"/>
    <xf numFmtId="0" fontId="123" fillId="51" borderId="30" applyNumberFormat="0" applyAlignment="0" applyProtection="0"/>
    <xf numFmtId="0" fontId="89" fillId="42" borderId="0" applyNumberFormat="0" applyBorder="0" applyAlignment="0" applyProtection="0"/>
    <xf numFmtId="0" fontId="227" fillId="51" borderId="15" applyNumberFormat="0" applyAlignment="0" applyProtection="0"/>
    <xf numFmtId="0" fontId="193" fillId="43" borderId="30" applyNumberFormat="0" applyAlignment="0" applyProtection="0"/>
    <xf numFmtId="0" fontId="187" fillId="0" borderId="0" applyNumberFormat="0" applyFill="0" applyBorder="0" applyAlignment="0" applyProtection="0"/>
    <xf numFmtId="0" fontId="76" fillId="45" borderId="0" applyNumberFormat="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6" fillId="28" borderId="0" applyNumberFormat="0" applyBorder="0" applyAlignment="0" applyProtection="0"/>
    <xf numFmtId="0" fontId="75" fillId="35" borderId="0" applyNumberFormat="0" applyBorder="0" applyAlignment="0" applyProtection="0"/>
    <xf numFmtId="0" fontId="76" fillId="39" borderId="0" applyNumberFormat="0" applyBorder="0" applyAlignment="0" applyProtection="0"/>
    <xf numFmtId="0" fontId="131" fillId="39" borderId="32" applyNumberFormat="0" applyAlignment="0" applyProtection="0"/>
    <xf numFmtId="0" fontId="123" fillId="51" borderId="30" applyNumberFormat="0" applyAlignment="0" applyProtection="0"/>
    <xf numFmtId="0" fontId="76" fillId="37" borderId="0" applyNumberFormat="0" applyBorder="0" applyAlignment="0" applyProtection="0"/>
    <xf numFmtId="0" fontId="89" fillId="42" borderId="0" applyNumberFormat="0" applyBorder="0" applyAlignment="0" applyProtection="0"/>
    <xf numFmtId="0" fontId="76" fillId="33" borderId="0" applyNumberFormat="0" applyBorder="0" applyAlignment="0" applyProtection="0"/>
    <xf numFmtId="0" fontId="76" fillId="45"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 fillId="0" borderId="0"/>
    <xf numFmtId="0" fontId="1" fillId="0" borderId="0"/>
    <xf numFmtId="0" fontId="76" fillId="29" borderId="0" applyNumberFormat="0" applyBorder="0" applyAlignment="0" applyProtection="0"/>
    <xf numFmtId="0" fontId="76" fillId="45" borderId="0" applyNumberFormat="0" applyBorder="0" applyAlignment="0" applyProtection="0"/>
    <xf numFmtId="0" fontId="76" fillId="33" borderId="0" applyNumberFormat="0" applyBorder="0" applyAlignment="0" applyProtection="0"/>
    <xf numFmtId="0" fontId="227" fillId="51" borderId="15" applyNumberFormat="0" applyAlignment="0" applyProtection="0"/>
    <xf numFmtId="0" fontId="89" fillId="42" borderId="0" applyNumberFormat="0" applyBorder="0" applyAlignment="0" applyProtection="0"/>
    <xf numFmtId="0" fontId="123" fillId="51" borderId="30" applyNumberFormat="0" applyAlignment="0" applyProtection="0"/>
    <xf numFmtId="0" fontId="76" fillId="37" borderId="0" applyNumberFormat="0" applyBorder="0" applyAlignment="0" applyProtection="0"/>
    <xf numFmtId="0" fontId="131" fillId="39" borderId="32" applyNumberFormat="0" applyAlignment="0" applyProtection="0"/>
    <xf numFmtId="0" fontId="161" fillId="42" borderId="30" applyNumberFormat="0" applyFont="0" applyAlignment="0" applyProtection="0"/>
    <xf numFmtId="0" fontId="207" fillId="43" borderId="0" applyNumberFormat="0" applyBorder="0" applyAlignment="0" applyProtection="0"/>
    <xf numFmtId="0" fontId="76" fillId="39" borderId="0" applyNumberFormat="0" applyBorder="0" applyAlignment="0" applyProtection="0"/>
    <xf numFmtId="0" fontId="207" fillId="0" borderId="45" applyNumberFormat="0" applyFill="0" applyAlignment="0" applyProtection="0"/>
    <xf numFmtId="0" fontId="75" fillId="35" borderId="0" applyNumberFormat="0" applyBorder="0" applyAlignment="0" applyProtection="0"/>
    <xf numFmtId="0" fontId="185" fillId="0" borderId="40" applyNumberFormat="0" applyFill="0" applyAlignment="0" applyProtection="0"/>
    <xf numFmtId="0" fontId="76" fillId="28" borderId="0" applyNumberFormat="0" applyBorder="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76" fillId="45" borderId="0" applyNumberFormat="0" applyBorder="0" applyAlignment="0" applyProtection="0"/>
    <xf numFmtId="0" fontId="193" fillId="43" borderId="30" applyNumberFormat="0" applyAlignment="0" applyProtection="0"/>
    <xf numFmtId="0" fontId="227" fillId="51" borderId="15" applyNumberFormat="0" applyAlignment="0" applyProtection="0"/>
    <xf numFmtId="0" fontId="161" fillId="42" borderId="30" applyNumberFormat="0" applyFont="0" applyAlignment="0" applyProtection="0"/>
    <xf numFmtId="0" fontId="89" fillId="42" borderId="0" applyNumberFormat="0" applyBorder="0" applyAlignment="0" applyProtection="0"/>
    <xf numFmtId="0" fontId="123" fillId="51" borderId="30" applyNumberFormat="0" applyAlignment="0" applyProtection="0"/>
    <xf numFmtId="0" fontId="131" fillId="39" borderId="32" applyNumberFormat="0" applyAlignment="0" applyProtection="0"/>
    <xf numFmtId="0" fontId="207" fillId="43" borderId="0" applyNumberFormat="0" applyBorder="0" applyAlignment="0" applyProtection="0"/>
    <xf numFmtId="0" fontId="207" fillId="0" borderId="45" applyNumberFormat="0" applyFill="0" applyAlignment="0" applyProtection="0"/>
    <xf numFmtId="0" fontId="193" fillId="43" borderId="30" applyNumberFormat="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193" fillId="43" borderId="30" applyNumberFormat="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187" fillId="0" borderId="0" applyNumberFormat="0" applyFill="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131" fillId="39" borderId="32" applyNumberFormat="0" applyAlignment="0" applyProtection="0"/>
    <xf numFmtId="0" fontId="123" fillId="51" borderId="30" applyNumberFormat="0" applyAlignment="0" applyProtection="0"/>
    <xf numFmtId="0" fontId="89" fillId="42" borderId="0" applyNumberFormat="0" applyBorder="0" applyAlignment="0" applyProtection="0"/>
    <xf numFmtId="0" fontId="227" fillId="51" borderId="15" applyNumberFormat="0" applyAlignment="0" applyProtection="0"/>
    <xf numFmtId="0" fontId="193" fillId="43" borderId="30" applyNumberFormat="0" applyAlignment="0" applyProtection="0"/>
    <xf numFmtId="0" fontId="187" fillId="0" borderId="0" applyNumberFormat="0" applyFill="0" applyBorder="0" applyAlignment="0" applyProtection="0"/>
    <xf numFmtId="0" fontId="76" fillId="45" borderId="0" applyNumberFormat="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6" fillId="28" borderId="0" applyNumberFormat="0" applyBorder="0" applyAlignment="0" applyProtection="0"/>
    <xf numFmtId="0" fontId="75" fillId="35" borderId="0" applyNumberFormat="0" applyBorder="0" applyAlignment="0" applyProtection="0"/>
    <xf numFmtId="0" fontId="89" fillId="42" borderId="0" applyNumberFormat="0" applyBorder="0" applyAlignment="0" applyProtection="0"/>
    <xf numFmtId="0" fontId="123" fillId="51" borderId="30" applyNumberFormat="0" applyAlignment="0" applyProtection="0"/>
    <xf numFmtId="0" fontId="76" fillId="39" borderId="0" applyNumberFormat="0" applyBorder="0" applyAlignment="0" applyProtection="0"/>
    <xf numFmtId="0" fontId="131" fillId="39" borderId="32" applyNumberFormat="0" applyAlignment="0" applyProtection="0"/>
    <xf numFmtId="0" fontId="161" fillId="56" borderId="60" applyNumberFormat="0">
      <protection locked="0"/>
    </xf>
    <xf numFmtId="0" fontId="131" fillId="39" borderId="32" applyNumberFormat="0" applyAlignment="0" applyProtection="0"/>
    <xf numFmtId="0" fontId="123" fillId="51" borderId="30" applyNumberFormat="0" applyAlignment="0" applyProtection="0"/>
    <xf numFmtId="0" fontId="76" fillId="37" borderId="0" applyNumberFormat="0" applyBorder="0" applyAlignment="0" applyProtection="0"/>
    <xf numFmtId="0" fontId="89" fillId="42" borderId="0" applyNumberFormat="0" applyBorder="0" applyAlignment="0" applyProtection="0"/>
    <xf numFmtId="0" fontId="76" fillId="33" borderId="0" applyNumberFormat="0" applyBorder="0" applyAlignment="0" applyProtection="0"/>
    <xf numFmtId="0" fontId="76" fillId="45" borderId="0" applyNumberFormat="0" applyBorder="0" applyAlignment="0" applyProtection="0"/>
    <xf numFmtId="0" fontId="75" fillId="35"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76" fillId="45"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39" borderId="0" applyNumberFormat="0" applyBorder="0" applyAlignment="0" applyProtection="0"/>
    <xf numFmtId="0" fontId="161" fillId="56" borderId="60" applyNumberFormat="0">
      <protection locked="0"/>
    </xf>
    <xf numFmtId="0" fontId="76" fillId="37" borderId="0" applyNumberFormat="0" applyBorder="0" applyAlignment="0" applyProtection="0"/>
    <xf numFmtId="0" fontId="76" fillId="39" borderId="0" applyNumberFormat="0" applyBorder="0" applyAlignment="0" applyProtection="0"/>
    <xf numFmtId="0" fontId="76" fillId="33" borderId="0" applyNumberFormat="0" applyBorder="0" applyAlignment="0" applyProtection="0"/>
    <xf numFmtId="0" fontId="76" fillId="37"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85" fillId="0" borderId="40" applyNumberFormat="0" applyFill="0" applyAlignment="0" applyProtection="0"/>
    <xf numFmtId="0" fontId="186" fillId="0" borderId="41" applyNumberFormat="0" applyFill="0" applyAlignment="0" applyProtection="0"/>
    <xf numFmtId="0" fontId="76" fillId="28" borderId="0" applyNumberFormat="0" applyBorder="0" applyAlignment="0" applyProtection="0"/>
    <xf numFmtId="0" fontId="187" fillId="0" borderId="42" applyNumberFormat="0" applyFill="0" applyAlignment="0" applyProtection="0"/>
    <xf numFmtId="0" fontId="187" fillId="0" borderId="0" applyNumberFormat="0" applyFill="0" applyBorder="0" applyAlignment="0" applyProtection="0"/>
    <xf numFmtId="0" fontId="193" fillId="43" borderId="30" applyNumberFormat="0" applyAlignment="0" applyProtection="0"/>
    <xf numFmtId="0" fontId="76" fillId="39" borderId="0" applyNumberFormat="0" applyBorder="0" applyAlignment="0" applyProtection="0"/>
    <xf numFmtId="0" fontId="161" fillId="56" borderId="60" applyNumberFormat="0">
      <protection locked="0"/>
    </xf>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76" fillId="37" borderId="0" applyNumberFormat="0" applyBorder="0" applyAlignment="0" applyProtection="0"/>
    <xf numFmtId="0" fontId="227" fillId="51" borderId="15" applyNumberFormat="0" applyAlignment="0" applyProtection="0"/>
    <xf numFmtId="0" fontId="76" fillId="33"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76" fillId="33" borderId="0" applyNumberFormat="0" applyBorder="0" applyAlignment="0" applyProtection="0"/>
    <xf numFmtId="0" fontId="76" fillId="29" borderId="0" applyNumberFormat="0" applyBorder="0" applyAlignment="0" applyProtection="0"/>
    <xf numFmtId="0" fontId="161" fillId="56" borderId="60" applyNumberFormat="0">
      <protection locked="0"/>
    </xf>
    <xf numFmtId="0" fontId="168" fillId="0" borderId="67" applyNumberFormat="0" applyFill="0" applyAlignment="0" applyProtection="0"/>
    <xf numFmtId="0" fontId="315" fillId="0" borderId="0" applyNumberFormat="0" applyFill="0" applyBorder="0" applyAlignment="0" applyProtection="0"/>
    <xf numFmtId="0" fontId="161" fillId="56" borderId="60" applyNumberFormat="0">
      <protection locked="0"/>
    </xf>
    <xf numFmtId="0" fontId="168" fillId="0" borderId="67" applyNumberFormat="0" applyFill="0" applyAlignment="0" applyProtection="0"/>
    <xf numFmtId="0" fontId="315" fillId="0" borderId="0" applyNumberFormat="0" applyFill="0" applyBorder="0" applyAlignment="0" applyProtection="0"/>
    <xf numFmtId="0" fontId="76" fillId="29" borderId="0" applyNumberFormat="0" applyBorder="0" applyAlignment="0" applyProtection="0"/>
    <xf numFmtId="0" fontId="187" fillId="0" borderId="42" applyNumberFormat="0" applyFill="0" applyAlignment="0" applyProtection="0"/>
    <xf numFmtId="0" fontId="76" fillId="45" borderId="0" applyNumberFormat="0" applyBorder="0" applyAlignment="0" applyProtection="0"/>
    <xf numFmtId="0" fontId="187" fillId="0" borderId="0" applyNumberFormat="0" applyFill="0" applyBorder="0" applyAlignment="0" applyProtection="0"/>
    <xf numFmtId="0" fontId="76" fillId="33" borderId="0" applyNumberFormat="0" applyBorder="0" applyAlignment="0" applyProtection="0"/>
    <xf numFmtId="0" fontId="193" fillId="43" borderId="30" applyNumberFormat="0" applyAlignment="0" applyProtection="0"/>
    <xf numFmtId="0" fontId="207" fillId="0" borderId="45" applyNumberFormat="0" applyFill="0" applyAlignment="0" applyProtection="0"/>
    <xf numFmtId="0" fontId="89" fillId="42" borderId="0" applyNumberFormat="0" applyBorder="0" applyAlignment="0" applyProtection="0"/>
    <xf numFmtId="0" fontId="76" fillId="37" borderId="0" applyNumberFormat="0" applyBorder="0" applyAlignment="0" applyProtection="0"/>
    <xf numFmtId="0" fontId="123" fillId="51" borderId="30" applyNumberFormat="0" applyAlignment="0" applyProtection="0"/>
    <xf numFmtId="0" fontId="131" fillId="39" borderId="32" applyNumberFormat="0" applyAlignment="0" applyProtection="0"/>
    <xf numFmtId="0" fontId="207" fillId="43" borderId="0" applyNumberFormat="0" applyBorder="0" applyAlignment="0" applyProtection="0"/>
    <xf numFmtId="0" fontId="76" fillId="39"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75" fillId="35" borderId="0" applyNumberFormat="0" applyBorder="0" applyAlignment="0" applyProtection="0"/>
    <xf numFmtId="0" fontId="76" fillId="28"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76" fillId="45" borderId="0" applyNumberFormat="0" applyBorder="0" applyAlignment="0" applyProtection="0"/>
    <xf numFmtId="0" fontId="187" fillId="0" borderId="0" applyNumberFormat="0" applyFill="0" applyBorder="0" applyAlignment="0" applyProtection="0"/>
    <xf numFmtId="0" fontId="193" fillId="43" borderId="30" applyNumberFormat="0" applyAlignment="0" applyProtection="0"/>
    <xf numFmtId="0" fontId="207" fillId="0" borderId="45" applyNumberFormat="0" applyFill="0" applyAlignment="0" applyProtection="0"/>
    <xf numFmtId="0" fontId="89" fillId="42" borderId="0" applyNumberFormat="0" applyBorder="0" applyAlignment="0" applyProtection="0"/>
    <xf numFmtId="0" fontId="123" fillId="51" borderId="30" applyNumberFormat="0" applyAlignment="0" applyProtection="0"/>
    <xf numFmtId="0" fontId="131" fillId="39" borderId="32" applyNumberFormat="0" applyAlignment="0" applyProtection="0"/>
    <xf numFmtId="0" fontId="207" fillId="43"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193" fillId="43" borderId="30" applyNumberFormat="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227" fillId="51" borderId="15" applyNumberFormat="0" applyAlignment="0" applyProtection="0"/>
    <xf numFmtId="0" fontId="161" fillId="42" borderId="30" applyNumberFormat="0" applyFont="0" applyAlignment="0" applyProtection="0"/>
    <xf numFmtId="0" fontId="207" fillId="43" borderId="0" applyNumberFormat="0" applyBorder="0" applyAlignment="0" applyProtection="0"/>
    <xf numFmtId="0" fontId="207" fillId="0" borderId="45" applyNumberFormat="0" applyFill="0" applyAlignment="0" applyProtection="0"/>
    <xf numFmtId="0" fontId="193" fillId="43" borderId="30" applyNumberFormat="0" applyAlignment="0" applyProtection="0"/>
    <xf numFmtId="0" fontId="187" fillId="0" borderId="0" applyNumberFormat="0" applyFill="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5" fillId="35" borderId="0" applyNumberFormat="0" applyBorder="0" applyAlignment="0" applyProtection="0"/>
    <xf numFmtId="0" fontId="227" fillId="51" borderId="15" applyNumberFormat="0" applyAlignment="0" applyProtection="0"/>
    <xf numFmtId="0" fontId="161" fillId="42" borderId="30" applyNumberFormat="0" applyFont="0" applyAlignment="0" applyProtection="0"/>
    <xf numFmtId="0" fontId="207" fillId="43" borderId="0" applyNumberFormat="0" applyBorder="0" applyAlignment="0" applyProtection="0"/>
    <xf numFmtId="0" fontId="131" fillId="39" borderId="32" applyNumberFormat="0" applyAlignment="0" applyProtection="0"/>
    <xf numFmtId="0" fontId="123" fillId="51" borderId="30" applyNumberFormat="0" applyAlignment="0" applyProtection="0"/>
    <xf numFmtId="0" fontId="89" fillId="42" borderId="0" applyNumberFormat="0" applyBorder="0" applyAlignment="0" applyProtection="0"/>
    <xf numFmtId="0" fontId="207" fillId="0" borderId="45" applyNumberFormat="0" applyFill="0" applyAlignment="0" applyProtection="0"/>
    <xf numFmtId="0" fontId="193" fillId="43" borderId="30" applyNumberFormat="0" applyAlignment="0" applyProtection="0"/>
    <xf numFmtId="0" fontId="187" fillId="0" borderId="0" applyNumberFormat="0" applyFill="0" applyBorder="0" applyAlignment="0" applyProtection="0"/>
    <xf numFmtId="0" fontId="76" fillId="45" borderId="0" applyNumberFormat="0" applyBorder="0" applyAlignment="0" applyProtection="0"/>
    <xf numFmtId="0" fontId="187" fillId="0" borderId="42" applyNumberFormat="0" applyFill="0" applyAlignment="0" applyProtection="0"/>
    <xf numFmtId="0" fontId="186" fillId="0" borderId="41" applyNumberFormat="0" applyFill="0" applyAlignment="0" applyProtection="0"/>
    <xf numFmtId="0" fontId="185" fillId="0" borderId="40" applyNumberFormat="0" applyFill="0" applyAlignment="0" applyProtection="0"/>
    <xf numFmtId="0" fontId="76" fillId="28" borderId="0" applyNumberFormat="0" applyBorder="0" applyAlignment="0" applyProtection="0"/>
    <xf numFmtId="0" fontId="75" fillId="35" borderId="0" applyNumberFormat="0" applyBorder="0" applyAlignment="0" applyProtection="0"/>
    <xf numFmtId="0" fontId="76" fillId="39" borderId="0" applyNumberFormat="0" applyBorder="0" applyAlignment="0" applyProtection="0"/>
    <xf numFmtId="0" fontId="131" fillId="39" borderId="32" applyNumberFormat="0" applyAlignment="0" applyProtection="0"/>
    <xf numFmtId="0" fontId="123" fillId="51" borderId="30" applyNumberFormat="0" applyAlignment="0" applyProtection="0"/>
    <xf numFmtId="0" fontId="76" fillId="37" borderId="0" applyNumberFormat="0" applyBorder="0" applyAlignment="0" applyProtection="0"/>
    <xf numFmtId="0" fontId="89" fillId="42" borderId="0" applyNumberFormat="0" applyBorder="0" applyAlignment="0" applyProtection="0"/>
    <xf numFmtId="0" fontId="76" fillId="33" borderId="0" applyNumberFormat="0" applyBorder="0" applyAlignment="0" applyProtection="0"/>
    <xf numFmtId="0" fontId="76" fillId="45"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86" fillId="0" borderId="41" applyNumberFormat="0" applyFill="0" applyAlignment="0" applyProtection="0"/>
    <xf numFmtId="0" fontId="185" fillId="0" borderId="40" applyNumberFormat="0" applyFill="0" applyAlignment="0" applyProtection="0"/>
    <xf numFmtId="0" fontId="76" fillId="28" borderId="0" applyNumberFormat="0" applyBorder="0" applyAlignment="0" applyProtection="0"/>
    <xf numFmtId="0" fontId="75" fillId="35" borderId="0" applyNumberFormat="0" applyBorder="0" applyAlignment="0" applyProtection="0"/>
    <xf numFmtId="0" fontId="76" fillId="39" borderId="0" applyNumberFormat="0" applyBorder="0" applyAlignment="0" applyProtection="0"/>
    <xf numFmtId="0" fontId="131" fillId="39" borderId="32" applyNumberFormat="0" applyAlignment="0" applyProtection="0"/>
    <xf numFmtId="0" fontId="123" fillId="51" borderId="30" applyNumberFormat="0" applyAlignment="0" applyProtection="0"/>
    <xf numFmtId="0" fontId="76" fillId="37" borderId="0" applyNumberFormat="0" applyBorder="0" applyAlignment="0" applyProtection="0"/>
    <xf numFmtId="0" fontId="89" fillId="42" borderId="0" applyNumberFormat="0" applyBorder="0" applyAlignment="0" applyProtection="0"/>
    <xf numFmtId="0" fontId="76" fillId="33" borderId="0" applyNumberFormat="0" applyBorder="0" applyAlignment="0" applyProtection="0"/>
    <xf numFmtId="0" fontId="76" fillId="45"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76" fillId="2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3" borderId="0" applyNumberFormat="0" applyBorder="0" applyAlignment="0" applyProtection="0"/>
    <xf numFmtId="0" fontId="76" fillId="29" borderId="0" applyNumberFormat="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168" fillId="0" borderId="67" applyNumberFormat="0" applyFill="0" applyAlignment="0" applyProtection="0"/>
    <xf numFmtId="0" fontId="315" fillId="0" borderId="0" applyNumberFormat="0" applyFill="0" applyBorder="0" applyAlignment="0" applyProtection="0"/>
    <xf numFmtId="0" fontId="76" fillId="29" borderId="0" applyNumberFormat="0" applyBorder="0" applyAlignment="0" applyProtection="0"/>
    <xf numFmtId="0" fontId="76" fillId="33" borderId="0" applyNumberFormat="0" applyBorder="0" applyAlignment="0" applyProtection="0"/>
    <xf numFmtId="0" fontId="76" fillId="37" borderId="0" applyNumberFormat="0" applyBorder="0" applyAlignment="0" applyProtection="0"/>
    <xf numFmtId="0" fontId="76" fillId="39" borderId="0" applyNumberFormat="0" applyBorder="0" applyAlignment="0" applyProtection="0"/>
    <xf numFmtId="0" fontId="76" fillId="28" borderId="0" applyNumberFormat="0" applyBorder="0" applyAlignment="0" applyProtection="0"/>
    <xf numFmtId="0" fontId="76" fillId="45" borderId="0" applyNumberFormat="0" applyBorder="0" applyAlignment="0" applyProtection="0"/>
    <xf numFmtId="0" fontId="89" fillId="42" borderId="0" applyNumberFormat="0" applyBorder="0" applyAlignment="0" applyProtection="0"/>
    <xf numFmtId="0" fontId="123" fillId="51" borderId="30" applyNumberFormat="0" applyAlignment="0" applyProtection="0"/>
    <xf numFmtId="0" fontId="131" fillId="39" borderId="32" applyNumberFormat="0" applyAlignment="0" applyProtection="0"/>
    <xf numFmtId="0" fontId="75" fillId="35" borderId="0" applyNumberFormat="0" applyBorder="0" applyAlignment="0" applyProtection="0"/>
    <xf numFmtId="0" fontId="185" fillId="0" borderId="40" applyNumberFormat="0" applyFill="0" applyAlignment="0" applyProtection="0"/>
    <xf numFmtId="0" fontId="186" fillId="0" borderId="41" applyNumberFormat="0" applyFill="0" applyAlignment="0" applyProtection="0"/>
    <xf numFmtId="0" fontId="187" fillId="0" borderId="42" applyNumberFormat="0" applyFill="0" applyAlignment="0" applyProtection="0"/>
    <xf numFmtId="0" fontId="187" fillId="0" borderId="0" applyNumberFormat="0" applyFill="0" applyBorder="0" applyAlignment="0" applyProtection="0"/>
    <xf numFmtId="0" fontId="193" fillId="43" borderId="30" applyNumberFormat="0" applyAlignment="0" applyProtection="0"/>
    <xf numFmtId="0" fontId="207" fillId="0" borderId="45" applyNumberFormat="0" applyFill="0" applyAlignment="0" applyProtection="0"/>
    <xf numFmtId="0" fontId="207" fillId="43" borderId="0" applyNumberFormat="0" applyBorder="0" applyAlignment="0" applyProtection="0"/>
    <xf numFmtId="0" fontId="161" fillId="42" borderId="30" applyNumberFormat="0" applyFont="0" applyAlignment="0" applyProtection="0"/>
    <xf numFmtId="0" fontId="227" fillId="51" borderId="15" applyNumberFormat="0" applyAlignment="0" applyProtection="0"/>
    <xf numFmtId="0" fontId="168" fillId="0" borderId="67" applyNumberFormat="0" applyFill="0" applyAlignment="0" applyProtection="0"/>
    <xf numFmtId="0" fontId="315" fillId="0" borderId="0" applyNumberFormat="0" applyFill="0" applyBorder="0" applyAlignment="0" applyProtection="0"/>
    <xf numFmtId="0" fontId="1" fillId="0" borderId="0"/>
    <xf numFmtId="0" fontId="1" fillId="0" borderId="0"/>
    <xf numFmtId="0" fontId="30" fillId="42" borderId="30" applyNumberFormat="0" applyFont="0" applyAlignment="0" applyProtection="0"/>
    <xf numFmtId="0" fontId="30" fillId="103" borderId="58" applyNumberFormat="0" applyProtection="0">
      <alignment horizontal="left" vertical="top" indent="1"/>
    </xf>
    <xf numFmtId="0" fontId="30" fillId="70" borderId="58" applyNumberFormat="0" applyProtection="0">
      <alignment horizontal="left" vertical="top" indent="1"/>
    </xf>
    <xf numFmtId="0" fontId="30" fillId="18" borderId="58" applyNumberFormat="0" applyProtection="0">
      <alignment horizontal="left" vertical="top" indent="1"/>
    </xf>
    <xf numFmtId="0" fontId="30" fillId="106" borderId="58" applyNumberFormat="0" applyProtection="0">
      <alignment horizontal="left" vertical="top" indent="1"/>
    </xf>
    <xf numFmtId="0" fontId="30" fillId="56" borderId="60" applyNumberFormat="0">
      <protection locked="0"/>
    </xf>
    <xf numFmtId="0" fontId="161" fillId="127" borderId="0"/>
    <xf numFmtId="0" fontId="161" fillId="127" borderId="0"/>
    <xf numFmtId="0" fontId="161" fillId="127" borderId="0"/>
    <xf numFmtId="0" fontId="161" fillId="127" borderId="0"/>
    <xf numFmtId="0" fontId="161" fillId="127" borderId="0"/>
    <xf numFmtId="0" fontId="161" fillId="127" borderId="0"/>
    <xf numFmtId="0" fontId="161" fillId="127" borderId="0"/>
    <xf numFmtId="0" fontId="1" fillId="0" borderId="0"/>
    <xf numFmtId="0" fontId="21" fillId="0" borderId="0"/>
    <xf numFmtId="0" fontId="96" fillId="8" borderId="58" applyNumberFormat="0" applyProtection="0">
      <alignment horizontal="left" vertical="top" indent="1"/>
    </xf>
    <xf numFmtId="4" fontId="96" fillId="8" borderId="58" applyNumberFormat="0" applyProtection="0">
      <alignment horizontal="left" vertical="center" indent="1"/>
    </xf>
    <xf numFmtId="4" fontId="342" fillId="8" borderId="58" applyNumberFormat="0" applyProtection="0">
      <alignment vertical="center"/>
    </xf>
    <xf numFmtId="4" fontId="96" fillId="8" borderId="58" applyNumberFormat="0" applyProtection="0">
      <alignment vertical="center"/>
    </xf>
    <xf numFmtId="174" fontId="21" fillId="0" borderId="0" applyFont="0" applyFill="0" applyBorder="0" applyAlignment="0" applyProtection="0"/>
    <xf numFmtId="4" fontId="238" fillId="106" borderId="58" applyNumberFormat="0" applyProtection="0">
      <alignment horizontal="right" vertical="center"/>
    </xf>
    <xf numFmtId="4" fontId="343" fillId="74" borderId="0" applyNumberFormat="0" applyProtection="0">
      <alignment horizontal="left" vertical="center" indent="1"/>
    </xf>
    <xf numFmtId="0" fontId="27" fillId="70" borderId="58" applyNumberFormat="0" applyProtection="0">
      <alignment horizontal="left" vertical="top" indent="1"/>
    </xf>
    <xf numFmtId="4" fontId="27" fillId="70" borderId="58" applyNumberFormat="0" applyProtection="0">
      <alignment horizontal="left" vertical="center" indent="1"/>
    </xf>
    <xf numFmtId="4" fontId="247" fillId="106" borderId="58" applyNumberFormat="0" applyProtection="0">
      <alignment horizontal="right" vertical="center"/>
    </xf>
    <xf numFmtId="4" fontId="27" fillId="106" borderId="58" applyNumberFormat="0" applyProtection="0">
      <alignment horizontal="right" vertical="center"/>
    </xf>
    <xf numFmtId="0" fontId="27" fillId="109" borderId="58" applyNumberFormat="0" applyProtection="0">
      <alignment horizontal="left" vertical="top" indent="1"/>
    </xf>
    <xf numFmtId="4" fontId="27" fillId="109" borderId="58" applyNumberFormat="0" applyProtection="0">
      <alignment horizontal="left" vertical="center" indent="1"/>
    </xf>
    <xf numFmtId="4" fontId="247" fillId="109" borderId="58" applyNumberFormat="0" applyProtection="0">
      <alignment vertical="center"/>
    </xf>
    <xf numFmtId="4" fontId="27" fillId="109" borderId="58" applyNumberFormat="0" applyProtection="0">
      <alignment vertical="center"/>
    </xf>
    <xf numFmtId="0" fontId="21" fillId="56" borderId="16" applyNumberFormat="0">
      <protection locked="0"/>
    </xf>
    <xf numFmtId="0" fontId="21" fillId="106" borderId="58" applyNumberFormat="0" applyProtection="0">
      <alignment horizontal="left" vertical="top" indent="1"/>
    </xf>
    <xf numFmtId="0" fontId="21" fillId="106" borderId="58" applyNumberFormat="0" applyProtection="0">
      <alignment horizontal="left" vertical="center" indent="1"/>
    </xf>
    <xf numFmtId="0" fontId="21" fillId="18" borderId="58" applyNumberFormat="0" applyProtection="0">
      <alignment horizontal="left" vertical="top" indent="1"/>
    </xf>
    <xf numFmtId="0" fontId="21" fillId="18" borderId="58" applyNumberFormat="0" applyProtection="0">
      <alignment horizontal="left" vertical="center" indent="1"/>
    </xf>
    <xf numFmtId="0" fontId="21" fillId="70" borderId="58" applyNumberFormat="0" applyProtection="0">
      <alignment horizontal="left" vertical="top" indent="1"/>
    </xf>
    <xf numFmtId="0" fontId="21" fillId="70" borderId="58" applyNumberFormat="0" applyProtection="0">
      <alignment horizontal="left" vertical="center" indent="1"/>
    </xf>
    <xf numFmtId="0" fontId="21" fillId="103" borderId="58" applyNumberFormat="0" applyProtection="0">
      <alignment horizontal="left" vertical="top" indent="1"/>
    </xf>
    <xf numFmtId="0" fontId="21" fillId="103" borderId="58" applyNumberFormat="0" applyProtection="0">
      <alignment horizontal="left" vertical="center" indent="1"/>
    </xf>
    <xf numFmtId="4" fontId="249" fillId="70" borderId="0" applyNumberFormat="0" applyProtection="0">
      <alignment horizontal="left" vertical="center" indent="1"/>
    </xf>
    <xf numFmtId="4" fontId="249" fillId="106" borderId="0" applyNumberFormat="0" applyProtection="0">
      <alignment horizontal="left" vertical="center" indent="1"/>
    </xf>
    <xf numFmtId="4" fontId="27" fillId="70" borderId="58" applyNumberFormat="0" applyProtection="0">
      <alignment horizontal="right" vertical="center"/>
    </xf>
    <xf numFmtId="4" fontId="248" fillId="103" borderId="0" applyNumberFormat="0" applyProtection="0">
      <alignment horizontal="left" vertical="center" indent="1"/>
    </xf>
    <xf numFmtId="4" fontId="27" fillId="106" borderId="0" applyNumberFormat="0" applyProtection="0">
      <alignment horizontal="left" vertical="center" indent="1"/>
    </xf>
    <xf numFmtId="4" fontId="96" fillId="101" borderId="77" applyNumberFormat="0" applyProtection="0">
      <alignment horizontal="left" vertical="center" indent="1"/>
    </xf>
    <xf numFmtId="4" fontId="27" fillId="20" borderId="58" applyNumberFormat="0" applyProtection="0">
      <alignment horizontal="right" vertical="center"/>
    </xf>
    <xf numFmtId="4" fontId="27" fillId="98" borderId="58" applyNumberFormat="0" applyProtection="0">
      <alignment horizontal="right" vertical="center"/>
    </xf>
    <xf numFmtId="4" fontId="27" fillId="96" borderId="58" applyNumberFormat="0" applyProtection="0">
      <alignment horizontal="right" vertical="center"/>
    </xf>
    <xf numFmtId="4" fontId="27" fillId="94" borderId="58" applyNumberFormat="0" applyProtection="0">
      <alignment horizontal="right" vertical="center"/>
    </xf>
    <xf numFmtId="4" fontId="27" fillId="25" borderId="58" applyNumberFormat="0" applyProtection="0">
      <alignment horizontal="right" vertical="center"/>
    </xf>
    <xf numFmtId="4" fontId="27" fillId="21" borderId="58" applyNumberFormat="0" applyProtection="0">
      <alignment horizontal="right" vertical="center"/>
    </xf>
    <xf numFmtId="4" fontId="27" fillId="90" borderId="58" applyNumberFormat="0" applyProtection="0">
      <alignment horizontal="right" vertical="center"/>
    </xf>
    <xf numFmtId="4" fontId="27" fillId="19" borderId="58" applyNumberFormat="0" applyProtection="0">
      <alignment horizontal="right" vertical="center"/>
    </xf>
    <xf numFmtId="4" fontId="27" fillId="12" borderId="58" applyNumberFormat="0" applyProtection="0">
      <alignment horizontal="right" vertical="center"/>
    </xf>
    <xf numFmtId="4" fontId="96" fillId="70" borderId="0" applyNumberFormat="0" applyProtection="0">
      <alignment horizontal="left" vertical="center" indent="1"/>
    </xf>
    <xf numFmtId="0" fontId="161" fillId="127" borderId="0"/>
    <xf numFmtId="0" fontId="161" fillId="127" borderId="0"/>
    <xf numFmtId="0" fontId="161" fillId="127" borderId="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0" fontId="161" fillId="127" borderId="0"/>
    <xf numFmtId="0" fontId="161" fillId="103" borderId="58" applyNumberFormat="0" applyProtection="0">
      <alignment horizontal="left" vertical="top" indent="1"/>
    </xf>
    <xf numFmtId="0" fontId="161" fillId="70" borderId="58" applyNumberFormat="0" applyProtection="0">
      <alignment horizontal="left" vertical="top" indent="1"/>
    </xf>
    <xf numFmtId="0" fontId="161" fillId="18" borderId="58" applyNumberFormat="0" applyProtection="0">
      <alignment horizontal="left" vertical="top" indent="1"/>
    </xf>
    <xf numFmtId="0" fontId="161" fillId="106" borderId="58" applyNumberFormat="0" applyProtection="0">
      <alignment horizontal="left" vertical="top" indent="1"/>
    </xf>
    <xf numFmtId="0" fontId="161" fillId="56" borderId="60" applyNumberFormat="0">
      <protection locked="0"/>
    </xf>
    <xf numFmtId="0" fontId="161" fillId="103" borderId="58" applyNumberFormat="0" applyProtection="0">
      <alignment horizontal="left" vertical="top" indent="1"/>
    </xf>
    <xf numFmtId="0" fontId="161" fillId="70" borderId="58" applyNumberFormat="0" applyProtection="0">
      <alignment horizontal="left" vertical="top" indent="1"/>
    </xf>
    <xf numFmtId="0" fontId="161" fillId="18" borderId="58" applyNumberFormat="0" applyProtection="0">
      <alignment horizontal="left" vertical="top" indent="1"/>
    </xf>
    <xf numFmtId="0" fontId="161" fillId="106" borderId="58" applyNumberFormat="0" applyProtection="0">
      <alignment horizontal="left" vertical="top" indent="1"/>
    </xf>
    <xf numFmtId="0" fontId="161" fillId="56" borderId="60" applyNumberFormat="0">
      <protection locked="0"/>
    </xf>
    <xf numFmtId="0" fontId="1" fillId="0" borderId="0"/>
    <xf numFmtId="174" fontId="1" fillId="0" borderId="0" applyFont="0" applyFill="0" applyBorder="0" applyAlignment="0" applyProtection="0"/>
    <xf numFmtId="9" fontId="1" fillId="0" borderId="0" applyFont="0" applyFill="0" applyBorder="0" applyAlignment="0" applyProtection="0"/>
    <xf numFmtId="174" fontId="21" fillId="0" borderId="0" applyFont="0" applyFill="0" applyBorder="0" applyAlignment="0" applyProtection="0"/>
    <xf numFmtId="0" fontId="13" fillId="0" borderId="0"/>
    <xf numFmtId="174" fontId="1" fillId="0" borderId="0" applyFont="0" applyFill="0" applyBorder="0" applyAlignment="0" applyProtection="0"/>
    <xf numFmtId="9" fontId="1" fillId="0" borderId="0" applyFont="0" applyFill="0" applyBorder="0" applyAlignment="0" applyProtection="0"/>
    <xf numFmtId="174" fontId="21" fillId="0" borderId="0" applyFont="0" applyFill="0" applyBorder="0" applyAlignment="0" applyProtection="0"/>
    <xf numFmtId="0" fontId="1" fillId="0" borderId="0"/>
    <xf numFmtId="0" fontId="30" fillId="42" borderId="30" applyNumberFormat="0" applyFont="0" applyAlignment="0" applyProtection="0"/>
    <xf numFmtId="0" fontId="30" fillId="103" borderId="58" applyNumberFormat="0" applyProtection="0">
      <alignment horizontal="left" vertical="top" indent="1"/>
    </xf>
    <xf numFmtId="0" fontId="30" fillId="70" borderId="58" applyNumberFormat="0" applyProtection="0">
      <alignment horizontal="left" vertical="top" indent="1"/>
    </xf>
    <xf numFmtId="0" fontId="30" fillId="18" borderId="58" applyNumberFormat="0" applyProtection="0">
      <alignment horizontal="left" vertical="top" indent="1"/>
    </xf>
    <xf numFmtId="0" fontId="30" fillId="106" borderId="58" applyNumberFormat="0" applyProtection="0">
      <alignment horizontal="left" vertical="top" indent="1"/>
    </xf>
    <xf numFmtId="0" fontId="30" fillId="56" borderId="60" applyNumberFormat="0">
      <protection locked="0"/>
    </xf>
    <xf numFmtId="0" fontId="161" fillId="127" borderId="0"/>
    <xf numFmtId="177" fontId="83" fillId="0" borderId="14">
      <protection hidden="1"/>
    </xf>
    <xf numFmtId="177" fontId="84" fillId="48" borderId="14" applyNumberFormat="0" applyFont="0" applyBorder="0" applyAlignment="0" applyProtection="0">
      <protection hidden="1"/>
    </xf>
    <xf numFmtId="177" fontId="169" fillId="64" borderId="14">
      <alignment horizontal="center"/>
    </xf>
    <xf numFmtId="177" fontId="169" fillId="64" borderId="14">
      <alignment horizontal="center"/>
    </xf>
    <xf numFmtId="177" fontId="58" fillId="72" borderId="39" applyNumberFormat="0" applyFont="0" applyAlignment="0" applyProtection="0"/>
    <xf numFmtId="177" fontId="209" fillId="0" borderId="14">
      <alignment horizontal="left"/>
      <protection locked="0"/>
    </xf>
    <xf numFmtId="177" fontId="30" fillId="7" borderId="14" applyNumberFormat="0" applyFont="0" applyBorder="0" applyAlignment="0" applyProtection="0">
      <alignment horizontal="center"/>
    </xf>
    <xf numFmtId="177" fontId="30" fillId="46" borderId="14" applyNumberFormat="0" applyFont="0" applyBorder="0" applyAlignment="0" applyProtection="0">
      <alignment horizontal="center"/>
    </xf>
    <xf numFmtId="177" fontId="239" fillId="0" borderId="14" applyNumberFormat="0" applyFill="0" applyBorder="0" applyAlignment="0" applyProtection="0">
      <protection hidden="1"/>
    </xf>
    <xf numFmtId="177" fontId="129" fillId="0" borderId="56" applyNumberFormat="0" applyFill="0" applyBorder="0">
      <alignment horizontal="left"/>
    </xf>
    <xf numFmtId="177" fontId="257" fillId="5" borderId="63">
      <protection locked="0"/>
    </xf>
    <xf numFmtId="194" fontId="284" fillId="0" borderId="56"/>
    <xf numFmtId="0" fontId="284" fillId="0" borderId="56"/>
    <xf numFmtId="177" fontId="292" fillId="0" borderId="56" applyFill="0" applyBorder="0" applyProtection="0">
      <alignment horizontal="left" vertical="top"/>
    </xf>
    <xf numFmtId="177" fontId="94" fillId="48" borderId="14"/>
    <xf numFmtId="3" fontId="340" fillId="0" borderId="14" applyFont="0" applyBorder="0">
      <alignment horizontal="right"/>
      <protection locked="0"/>
    </xf>
    <xf numFmtId="0" fontId="161" fillId="127" borderId="0"/>
    <xf numFmtId="0" fontId="161" fillId="127" borderId="0"/>
    <xf numFmtId="0" fontId="161" fillId="127" borderId="0"/>
    <xf numFmtId="0" fontId="161" fillId="127" borderId="0"/>
    <xf numFmtId="0" fontId="161" fillId="127" borderId="0"/>
    <xf numFmtId="0" fontId="161" fillId="127" borderId="0"/>
    <xf numFmtId="0" fontId="161" fillId="127" borderId="0"/>
    <xf numFmtId="0" fontId="161" fillId="127" borderId="0"/>
    <xf numFmtId="0" fontId="161" fillId="127" borderId="0"/>
    <xf numFmtId="0" fontId="161" fillId="127" borderId="0"/>
    <xf numFmtId="0" fontId="161" fillId="127" borderId="0"/>
    <xf numFmtId="0" fontId="161" fillId="127" borderId="0"/>
    <xf numFmtId="0" fontId="21" fillId="0" borderId="0"/>
    <xf numFmtId="0" fontId="161" fillId="127" borderId="0"/>
    <xf numFmtId="0" fontId="161" fillId="127" borderId="0"/>
    <xf numFmtId="0" fontId="161" fillId="127" borderId="0"/>
    <xf numFmtId="0" fontId="161" fillId="127" borderId="0"/>
    <xf numFmtId="0" fontId="123" fillId="51" borderId="30" applyNumberFormat="0" applyAlignment="0" applyProtection="0"/>
    <xf numFmtId="0" fontId="193" fillId="43" borderId="30" applyNumberFormat="0" applyAlignment="0" applyProtection="0"/>
    <xf numFmtId="0" fontId="30" fillId="42" borderId="30" applyNumberFormat="0" applyFont="0" applyAlignment="0" applyProtection="0"/>
    <xf numFmtId="0" fontId="227" fillId="51" borderId="15" applyNumberFormat="0" applyAlignment="0" applyProtection="0"/>
    <xf numFmtId="4" fontId="30" fillId="8" borderId="30" applyNumberFormat="0" applyProtection="0">
      <alignment vertical="center"/>
    </xf>
    <xf numFmtId="4" fontId="246" fillId="58" borderId="30" applyNumberFormat="0" applyProtection="0">
      <alignment vertical="center"/>
    </xf>
    <xf numFmtId="4" fontId="30" fillId="58" borderId="30" applyNumberFormat="0" applyProtection="0">
      <alignment horizontal="left" vertical="center" indent="1"/>
    </xf>
    <xf numFmtId="0" fontId="98" fillId="8" borderId="58" applyNumberFormat="0" applyProtection="0">
      <alignment horizontal="left" vertical="top" indent="1"/>
    </xf>
    <xf numFmtId="4" fontId="30" fillId="24" borderId="30" applyNumberFormat="0" applyProtection="0">
      <alignment horizontal="left" vertical="center" indent="1"/>
    </xf>
    <xf numFmtId="4" fontId="30" fillId="12" borderId="30" applyNumberFormat="0" applyProtection="0">
      <alignment horizontal="right" vertical="center"/>
    </xf>
    <xf numFmtId="4" fontId="30" fillId="55" borderId="30" applyNumberFormat="0" applyProtection="0">
      <alignment horizontal="right" vertical="center"/>
    </xf>
    <xf numFmtId="4" fontId="30" fillId="90" borderId="23" applyNumberFormat="0" applyProtection="0">
      <alignment horizontal="right" vertical="center"/>
    </xf>
    <xf numFmtId="4" fontId="30" fillId="21" borderId="30" applyNumberFormat="0" applyProtection="0">
      <alignment horizontal="right" vertical="center"/>
    </xf>
    <xf numFmtId="4" fontId="30" fillId="25" borderId="30" applyNumberFormat="0" applyProtection="0">
      <alignment horizontal="right" vertical="center"/>
    </xf>
    <xf numFmtId="4" fontId="30" fillId="94" borderId="30" applyNumberFormat="0" applyProtection="0">
      <alignment horizontal="right" vertical="center"/>
    </xf>
    <xf numFmtId="4" fontId="30" fillId="96" borderId="30" applyNumberFormat="0" applyProtection="0">
      <alignment horizontal="right" vertical="center"/>
    </xf>
    <xf numFmtId="4" fontId="30" fillId="98" borderId="30" applyNumberFormat="0" applyProtection="0">
      <alignment horizontal="right" vertical="center"/>
    </xf>
    <xf numFmtId="4" fontId="30" fillId="20" borderId="30" applyNumberFormat="0" applyProtection="0">
      <alignment horizontal="right" vertical="center"/>
    </xf>
    <xf numFmtId="4" fontId="30" fillId="101"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30" fillId="70" borderId="30" applyNumberFormat="0" applyProtection="0">
      <alignment horizontal="right" vertical="center"/>
    </xf>
    <xf numFmtId="4" fontId="30" fillId="106" borderId="23" applyNumberFormat="0" applyProtection="0">
      <alignment horizontal="left" vertical="center" indent="1"/>
    </xf>
    <xf numFmtId="4" fontId="30" fillId="70" borderId="23" applyNumberFormat="0" applyProtection="0">
      <alignment horizontal="left" vertical="center" indent="1"/>
    </xf>
    <xf numFmtId="0" fontId="30" fillId="48" borderId="30" applyNumberFormat="0" applyProtection="0">
      <alignment horizontal="left" vertical="center" indent="1"/>
    </xf>
    <xf numFmtId="0" fontId="30" fillId="103" borderId="58" applyNumberFormat="0" applyProtection="0">
      <alignment horizontal="left" vertical="top" indent="1"/>
    </xf>
    <xf numFmtId="0" fontId="30" fillId="107" borderId="30" applyNumberFormat="0" applyProtection="0">
      <alignment horizontal="left" vertical="center" indent="1"/>
    </xf>
    <xf numFmtId="0" fontId="30" fillId="70" borderId="58" applyNumberFormat="0" applyProtection="0">
      <alignment horizontal="left" vertical="top" indent="1"/>
    </xf>
    <xf numFmtId="0" fontId="30" fillId="18" borderId="30" applyNumberFormat="0" applyProtection="0">
      <alignment horizontal="left" vertical="center" indent="1"/>
    </xf>
    <xf numFmtId="0" fontId="30" fillId="18" borderId="58" applyNumberFormat="0" applyProtection="0">
      <alignment horizontal="left" vertical="top" indent="1"/>
    </xf>
    <xf numFmtId="0" fontId="30" fillId="106" borderId="30" applyNumberFormat="0" applyProtection="0">
      <alignment horizontal="left" vertical="center" indent="1"/>
    </xf>
    <xf numFmtId="0" fontId="30" fillId="106" borderId="58" applyNumberFormat="0" applyProtection="0">
      <alignment horizontal="left" vertical="top" indent="1"/>
    </xf>
    <xf numFmtId="0" fontId="18" fillId="103" borderId="61" applyBorder="0"/>
    <xf numFmtId="4" fontId="93" fillId="109" borderId="58" applyNumberFormat="0" applyProtection="0">
      <alignment vertical="center"/>
    </xf>
    <xf numFmtId="4" fontId="246" fillId="73" borderId="76" applyNumberFormat="0" applyProtection="0">
      <alignment vertical="center"/>
    </xf>
    <xf numFmtId="4" fontId="93" fillId="48" borderId="58" applyNumberFormat="0" applyProtection="0">
      <alignment horizontal="left" vertical="center" indent="1"/>
    </xf>
    <xf numFmtId="0" fontId="93" fillId="109" borderId="58" applyNumberFormat="0" applyProtection="0">
      <alignment horizontal="left" vertical="top" indent="1"/>
    </xf>
    <xf numFmtId="4" fontId="30" fillId="0" borderId="30" applyNumberFormat="0" applyProtection="0">
      <alignment horizontal="right" vertical="center"/>
    </xf>
    <xf numFmtId="4" fontId="246" fillId="5" borderId="30" applyNumberFormat="0" applyProtection="0">
      <alignment horizontal="right" vertical="center"/>
    </xf>
    <xf numFmtId="4" fontId="30" fillId="24" borderId="30" applyNumberFormat="0" applyProtection="0">
      <alignment horizontal="left" vertical="center" indent="1"/>
    </xf>
    <xf numFmtId="0" fontId="93" fillId="70" borderId="58" applyNumberFormat="0" applyProtection="0">
      <alignment horizontal="left" vertical="top" indent="1"/>
    </xf>
    <xf numFmtId="4" fontId="251" fillId="74" borderId="23" applyNumberFormat="0" applyProtection="0">
      <alignment horizontal="left" vertical="center" indent="1"/>
    </xf>
    <xf numFmtId="0" fontId="30" fillId="111" borderId="76"/>
    <xf numFmtId="4" fontId="253" fillId="56" borderId="30" applyNumberFormat="0" applyProtection="0">
      <alignment horizontal="right" vertical="center"/>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177" fontId="1" fillId="0" borderId="0"/>
    <xf numFmtId="174" fontId="1" fillId="0" borderId="0" applyFont="0" applyFill="0" applyBorder="0" applyAlignment="0" applyProtection="0"/>
    <xf numFmtId="177" fontId="1" fillId="0" borderId="0"/>
    <xf numFmtId="174" fontId="1" fillId="0" borderId="0" applyFont="0" applyFill="0" applyBorder="0" applyAlignment="0" applyProtection="0"/>
    <xf numFmtId="177" fontId="1" fillId="0" borderId="0"/>
    <xf numFmtId="174" fontId="1" fillId="0" borderId="0" applyFont="0" applyFill="0" applyBorder="0" applyAlignment="0" applyProtection="0"/>
    <xf numFmtId="177" fontId="1" fillId="0" borderId="0"/>
    <xf numFmtId="174" fontId="1" fillId="0" borderId="0" applyFont="0" applyFill="0" applyBorder="0" applyAlignment="0" applyProtection="0"/>
    <xf numFmtId="177" fontId="83" fillId="0" borderId="14">
      <protection hidden="1"/>
    </xf>
    <xf numFmtId="177" fontId="84" fillId="48" borderId="14" applyNumberFormat="0" applyFont="0" applyBorder="0" applyAlignment="0" applyProtection="0">
      <protection hidden="1"/>
    </xf>
    <xf numFmtId="177" fontId="169" fillId="64" borderId="14">
      <alignment horizontal="center"/>
    </xf>
    <xf numFmtId="177" fontId="169" fillId="64" borderId="14">
      <alignment horizontal="center"/>
    </xf>
    <xf numFmtId="177" fontId="209" fillId="0" borderId="14">
      <alignment horizontal="left"/>
      <protection locked="0"/>
    </xf>
    <xf numFmtId="177" fontId="30" fillId="7" borderId="14" applyNumberFormat="0" applyFont="0" applyBorder="0" applyAlignment="0" applyProtection="0">
      <alignment horizontal="center"/>
    </xf>
    <xf numFmtId="177" fontId="30" fillId="46" borderId="14" applyNumberFormat="0" applyFont="0" applyBorder="0" applyAlignment="0" applyProtection="0">
      <alignment horizontal="center"/>
    </xf>
    <xf numFmtId="177" fontId="239" fillId="0" borderId="14" applyNumberFormat="0" applyFill="0" applyBorder="0" applyAlignment="0" applyProtection="0">
      <protection hidden="1"/>
    </xf>
    <xf numFmtId="177" fontId="94" fillId="48" borderId="14"/>
    <xf numFmtId="3" fontId="340" fillId="0" borderId="14" applyFont="0" applyBorder="0">
      <alignment horizontal="right"/>
      <protection locked="0"/>
    </xf>
    <xf numFmtId="174" fontId="1" fillId="0" borderId="0" applyFont="0" applyFill="0" applyBorder="0" applyAlignment="0" applyProtection="0"/>
    <xf numFmtId="0" fontId="123" fillId="51" borderId="30" applyNumberFormat="0" applyAlignment="0" applyProtection="0"/>
    <xf numFmtId="0" fontId="193" fillId="43" borderId="30" applyNumberFormat="0" applyAlignment="0" applyProtection="0"/>
    <xf numFmtId="0" fontId="30" fillId="42" borderId="30" applyNumberFormat="0" applyFont="0" applyAlignment="0" applyProtection="0"/>
    <xf numFmtId="4" fontId="30" fillId="8" borderId="30" applyNumberFormat="0" applyProtection="0">
      <alignment vertical="center"/>
    </xf>
    <xf numFmtId="4" fontId="246" fillId="58" borderId="30" applyNumberFormat="0" applyProtection="0">
      <alignment vertical="center"/>
    </xf>
    <xf numFmtId="4" fontId="30" fillId="58" borderId="30" applyNumberFormat="0" applyProtection="0">
      <alignment horizontal="left" vertical="center" indent="1"/>
    </xf>
    <xf numFmtId="4" fontId="30" fillId="24" borderId="30" applyNumberFormat="0" applyProtection="0">
      <alignment horizontal="left" vertical="center" indent="1"/>
    </xf>
    <xf numFmtId="4" fontId="30" fillId="12" borderId="30" applyNumberFormat="0" applyProtection="0">
      <alignment horizontal="right" vertical="center"/>
    </xf>
    <xf numFmtId="4" fontId="30" fillId="55" borderId="30" applyNumberFormat="0" applyProtection="0">
      <alignment horizontal="right" vertical="center"/>
    </xf>
    <xf numFmtId="4" fontId="30" fillId="21" borderId="30" applyNumberFormat="0" applyProtection="0">
      <alignment horizontal="right" vertical="center"/>
    </xf>
    <xf numFmtId="4" fontId="30" fillId="25" borderId="30" applyNumberFormat="0" applyProtection="0">
      <alignment horizontal="right" vertical="center"/>
    </xf>
    <xf numFmtId="4" fontId="30" fillId="94" borderId="30" applyNumberFormat="0" applyProtection="0">
      <alignment horizontal="right" vertical="center"/>
    </xf>
    <xf numFmtId="4" fontId="30" fillId="96" borderId="30" applyNumberFormat="0" applyProtection="0">
      <alignment horizontal="right" vertical="center"/>
    </xf>
    <xf numFmtId="4" fontId="30" fillId="98" borderId="30" applyNumberFormat="0" applyProtection="0">
      <alignment horizontal="right" vertical="center"/>
    </xf>
    <xf numFmtId="4" fontId="30" fillId="20" borderId="30" applyNumberFormat="0" applyProtection="0">
      <alignment horizontal="right" vertical="center"/>
    </xf>
    <xf numFmtId="4" fontId="30" fillId="70" borderId="30" applyNumberFormat="0" applyProtection="0">
      <alignment horizontal="right" vertical="center"/>
    </xf>
    <xf numFmtId="0" fontId="30" fillId="48" borderId="30" applyNumberFormat="0" applyProtection="0">
      <alignment horizontal="left" vertical="center" indent="1"/>
    </xf>
    <xf numFmtId="0" fontId="30" fillId="107" borderId="30" applyNumberFormat="0" applyProtection="0">
      <alignment horizontal="left" vertical="center" indent="1"/>
    </xf>
    <xf numFmtId="0" fontId="30" fillId="18" borderId="30" applyNumberFormat="0" applyProtection="0">
      <alignment horizontal="left" vertical="center" indent="1"/>
    </xf>
    <xf numFmtId="0" fontId="30" fillId="106" borderId="30" applyNumberFormat="0" applyProtection="0">
      <alignment horizontal="left" vertical="center" indent="1"/>
    </xf>
    <xf numFmtId="4" fontId="30" fillId="0" borderId="30" applyNumberFormat="0" applyProtection="0">
      <alignment horizontal="right" vertical="center"/>
    </xf>
    <xf numFmtId="4" fontId="246" fillId="5" borderId="30" applyNumberFormat="0" applyProtection="0">
      <alignment horizontal="right" vertical="center"/>
    </xf>
    <xf numFmtId="4" fontId="30" fillId="24" borderId="30" applyNumberFormat="0" applyProtection="0">
      <alignment horizontal="left" vertical="center" indent="1"/>
    </xf>
    <xf numFmtId="4" fontId="253" fillId="56" borderId="30" applyNumberFormat="0" applyProtection="0">
      <alignment horizontal="right" vertical="center"/>
    </xf>
    <xf numFmtId="9" fontId="1" fillId="0" borderId="0" applyFont="0" applyFill="0" applyBorder="0" applyAlignment="0" applyProtection="0"/>
    <xf numFmtId="174" fontId="21" fillId="0" borderId="0" applyFont="0" applyFill="0" applyBorder="0" applyAlignment="0" applyProtection="0"/>
    <xf numFmtId="9" fontId="21" fillId="0" borderId="0" applyFont="0" applyFill="0" applyBorder="0" applyAlignment="0" applyProtection="0"/>
    <xf numFmtId="0" fontId="161" fillId="127" borderId="0"/>
    <xf numFmtId="0" fontId="161" fillId="127" borderId="0"/>
    <xf numFmtId="0" fontId="161" fillId="127" borderId="0"/>
    <xf numFmtId="174" fontId="12" fillId="0" borderId="0" applyFont="0" applyFill="0" applyBorder="0" applyAlignment="0" applyProtection="0"/>
    <xf numFmtId="0" fontId="123" fillId="51" borderId="30" applyNumberFormat="0" applyAlignment="0" applyProtection="0"/>
    <xf numFmtId="0" fontId="193" fillId="43" borderId="30" applyNumberFormat="0" applyAlignment="0" applyProtection="0"/>
    <xf numFmtId="174" fontId="12" fillId="0" borderId="0" applyFont="0" applyFill="0" applyBorder="0" applyAlignment="0" applyProtection="0"/>
    <xf numFmtId="0" fontId="30" fillId="42" borderId="30" applyNumberFormat="0" applyFont="0" applyAlignment="0" applyProtection="0"/>
    <xf numFmtId="0" fontId="227" fillId="51" borderId="15" applyNumberFormat="0" applyAlignment="0" applyProtection="0"/>
    <xf numFmtId="4" fontId="30" fillId="8" borderId="30" applyNumberFormat="0" applyProtection="0">
      <alignment vertical="center"/>
    </xf>
    <xf numFmtId="4" fontId="246" fillId="58" borderId="30" applyNumberFormat="0" applyProtection="0">
      <alignment vertical="center"/>
    </xf>
    <xf numFmtId="4" fontId="30" fillId="58" borderId="30" applyNumberFormat="0" applyProtection="0">
      <alignment horizontal="left" vertical="center" indent="1"/>
    </xf>
    <xf numFmtId="0" fontId="98" fillId="8" borderId="58" applyNumberFormat="0" applyProtection="0">
      <alignment horizontal="left" vertical="top" indent="1"/>
    </xf>
    <xf numFmtId="4" fontId="30" fillId="24" borderId="30" applyNumberFormat="0" applyProtection="0">
      <alignment horizontal="left" vertical="center" indent="1"/>
    </xf>
    <xf numFmtId="4" fontId="30" fillId="12" borderId="30" applyNumberFormat="0" applyProtection="0">
      <alignment horizontal="right" vertical="center"/>
    </xf>
    <xf numFmtId="4" fontId="30" fillId="55" borderId="30" applyNumberFormat="0" applyProtection="0">
      <alignment horizontal="right" vertical="center"/>
    </xf>
    <xf numFmtId="4" fontId="30" fillId="90" borderId="23" applyNumberFormat="0" applyProtection="0">
      <alignment horizontal="right" vertical="center"/>
    </xf>
    <xf numFmtId="4" fontId="30" fillId="21" borderId="30" applyNumberFormat="0" applyProtection="0">
      <alignment horizontal="right" vertical="center"/>
    </xf>
    <xf numFmtId="4" fontId="30" fillId="25" borderId="30" applyNumberFormat="0" applyProtection="0">
      <alignment horizontal="right" vertical="center"/>
    </xf>
    <xf numFmtId="4" fontId="30" fillId="94" borderId="30" applyNumberFormat="0" applyProtection="0">
      <alignment horizontal="right" vertical="center"/>
    </xf>
    <xf numFmtId="4" fontId="30" fillId="96" borderId="30" applyNumberFormat="0" applyProtection="0">
      <alignment horizontal="right" vertical="center"/>
    </xf>
    <xf numFmtId="4" fontId="30" fillId="98" borderId="30" applyNumberFormat="0" applyProtection="0">
      <alignment horizontal="right" vertical="center"/>
    </xf>
    <xf numFmtId="4" fontId="30" fillId="20" borderId="30" applyNumberFormat="0" applyProtection="0">
      <alignment horizontal="right" vertical="center"/>
    </xf>
    <xf numFmtId="4" fontId="30" fillId="101" borderId="23" applyNumberFormat="0" applyProtection="0">
      <alignment horizontal="left" vertical="center" indent="1"/>
    </xf>
    <xf numFmtId="4" fontId="14" fillId="103" borderId="23" applyNumberFormat="0" applyProtection="0">
      <alignment horizontal="left" vertical="center" indent="1"/>
    </xf>
    <xf numFmtId="4" fontId="14" fillId="103" borderId="23" applyNumberFormat="0" applyProtection="0">
      <alignment horizontal="left" vertical="center" indent="1"/>
    </xf>
    <xf numFmtId="4" fontId="30" fillId="70" borderId="30" applyNumberFormat="0" applyProtection="0">
      <alignment horizontal="right" vertical="center"/>
    </xf>
    <xf numFmtId="4" fontId="30" fillId="106" borderId="23" applyNumberFormat="0" applyProtection="0">
      <alignment horizontal="left" vertical="center" indent="1"/>
    </xf>
    <xf numFmtId="4" fontId="30" fillId="70" borderId="23" applyNumberFormat="0" applyProtection="0">
      <alignment horizontal="left" vertical="center" indent="1"/>
    </xf>
    <xf numFmtId="0" fontId="30" fillId="48" borderId="30" applyNumberFormat="0" applyProtection="0">
      <alignment horizontal="left" vertical="center" indent="1"/>
    </xf>
    <xf numFmtId="0" fontId="30" fillId="103" borderId="58" applyNumberFormat="0" applyProtection="0">
      <alignment horizontal="left" vertical="top" indent="1"/>
    </xf>
    <xf numFmtId="0" fontId="30" fillId="107" borderId="30" applyNumberFormat="0" applyProtection="0">
      <alignment horizontal="left" vertical="center" indent="1"/>
    </xf>
    <xf numFmtId="0" fontId="30" fillId="70" borderId="58" applyNumberFormat="0" applyProtection="0">
      <alignment horizontal="left" vertical="top" indent="1"/>
    </xf>
    <xf numFmtId="0" fontId="30" fillId="18" borderId="30" applyNumberFormat="0" applyProtection="0">
      <alignment horizontal="left" vertical="center" indent="1"/>
    </xf>
    <xf numFmtId="0" fontId="30" fillId="18" borderId="58" applyNumberFormat="0" applyProtection="0">
      <alignment horizontal="left" vertical="top" indent="1"/>
    </xf>
    <xf numFmtId="0" fontId="30" fillId="106" borderId="30" applyNumberFormat="0" applyProtection="0">
      <alignment horizontal="left" vertical="center" indent="1"/>
    </xf>
    <xf numFmtId="0" fontId="30" fillId="106" borderId="58" applyNumberFormat="0" applyProtection="0">
      <alignment horizontal="left" vertical="top" indent="1"/>
    </xf>
    <xf numFmtId="0" fontId="18" fillId="103" borderId="61" applyBorder="0"/>
    <xf numFmtId="4" fontId="93" fillId="109" borderId="58" applyNumberFormat="0" applyProtection="0">
      <alignment vertical="center"/>
    </xf>
    <xf numFmtId="4" fontId="93" fillId="48" borderId="58" applyNumberFormat="0" applyProtection="0">
      <alignment horizontal="left" vertical="center" indent="1"/>
    </xf>
    <xf numFmtId="0" fontId="93" fillId="109" borderId="58" applyNumberFormat="0" applyProtection="0">
      <alignment horizontal="left" vertical="top" indent="1"/>
    </xf>
    <xf numFmtId="4" fontId="30" fillId="0" borderId="30" applyNumberFormat="0" applyProtection="0">
      <alignment horizontal="right" vertical="center"/>
    </xf>
    <xf numFmtId="4" fontId="246" fillId="5" borderId="30" applyNumberFormat="0" applyProtection="0">
      <alignment horizontal="right" vertical="center"/>
    </xf>
    <xf numFmtId="4" fontId="30" fillId="24" borderId="30" applyNumberFormat="0" applyProtection="0">
      <alignment horizontal="left" vertical="center" indent="1"/>
    </xf>
    <xf numFmtId="0" fontId="93" fillId="70" borderId="58" applyNumberFormat="0" applyProtection="0">
      <alignment horizontal="left" vertical="top" indent="1"/>
    </xf>
    <xf numFmtId="4" fontId="251" fillId="74" borderId="23" applyNumberFormat="0" applyProtection="0">
      <alignment horizontal="left" vertical="center" indent="1"/>
    </xf>
    <xf numFmtId="4" fontId="253" fillId="56" borderId="30" applyNumberFormat="0" applyProtection="0">
      <alignment horizontal="right" vertical="center"/>
    </xf>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0" borderId="30" applyNumberFormat="0" applyProtection="0">
      <alignment horizontal="right" vertical="center"/>
    </xf>
    <xf numFmtId="0" fontId="161" fillId="127" borderId="0"/>
    <xf numFmtId="4" fontId="30" fillId="24" borderId="30" applyNumberFormat="0" applyProtection="0">
      <alignment horizontal="left" vertical="center" indent="1"/>
    </xf>
    <xf numFmtId="4" fontId="30" fillId="24" borderId="30" applyNumberFormat="0" applyProtection="0">
      <alignment horizontal="left" vertical="center" indent="1"/>
    </xf>
    <xf numFmtId="4" fontId="30" fillId="0" borderId="30" applyNumberFormat="0" applyProtection="0">
      <alignment horizontal="right" vertical="center"/>
    </xf>
    <xf numFmtId="4" fontId="30" fillId="58" borderId="30" applyNumberFormat="0" applyProtection="0">
      <alignment horizontal="left" vertical="center" indent="1"/>
    </xf>
    <xf numFmtId="4" fontId="30" fillId="8" borderId="30" applyNumberFormat="0" applyProtection="0">
      <alignment vertical="center"/>
    </xf>
    <xf numFmtId="4" fontId="30" fillId="0" borderId="30" applyNumberFormat="0" applyProtection="0">
      <alignment horizontal="right" vertical="center"/>
    </xf>
    <xf numFmtId="0" fontId="93" fillId="70" borderId="58" applyNumberFormat="0" applyProtection="0">
      <alignment horizontal="left" vertical="top" indent="1"/>
    </xf>
    <xf numFmtId="0" fontId="168" fillId="0" borderId="67" applyNumberFormat="0" applyFill="0" applyAlignment="0" applyProtection="0"/>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161" fillId="127" borderId="0"/>
    <xf numFmtId="0" fontId="93" fillId="70" borderId="58" applyNumberFormat="0" applyProtection="0">
      <alignment horizontal="left" vertical="top" indent="1"/>
    </xf>
    <xf numFmtId="0" fontId="161" fillId="127" borderId="0"/>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161" fillId="127" borderId="0"/>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4" fontId="30" fillId="24" borderId="30" applyNumberFormat="0" applyProtection="0">
      <alignment horizontal="left" vertical="center" indent="1"/>
    </xf>
    <xf numFmtId="4" fontId="30" fillId="58" borderId="30" applyNumberFormat="0" applyProtection="0">
      <alignment horizontal="left" vertical="center" indent="1"/>
    </xf>
    <xf numFmtId="4" fontId="30" fillId="8" borderId="30" applyNumberFormat="0" applyProtection="0">
      <alignment vertical="center"/>
    </xf>
    <xf numFmtId="0" fontId="93" fillId="70" borderId="58" applyNumberFormat="0" applyProtection="0">
      <alignment horizontal="left" vertical="top" indent="1"/>
    </xf>
    <xf numFmtId="0" fontId="93" fillId="70" borderId="58" applyNumberFormat="0" applyProtection="0">
      <alignment horizontal="left" vertical="top" indent="1"/>
    </xf>
    <xf numFmtId="0" fontId="161" fillId="42" borderId="30" applyNumberFormat="0" applyFont="0" applyAlignment="0" applyProtection="0"/>
    <xf numFmtId="0" fontId="161" fillId="103" borderId="58" applyNumberFormat="0" applyProtection="0">
      <alignment horizontal="left" vertical="top" indent="1"/>
    </xf>
    <xf numFmtId="0" fontId="161" fillId="70" borderId="58" applyNumberFormat="0" applyProtection="0">
      <alignment horizontal="left" vertical="top" indent="1"/>
    </xf>
    <xf numFmtId="0" fontId="161" fillId="18" borderId="58" applyNumberFormat="0" applyProtection="0">
      <alignment horizontal="left" vertical="top" indent="1"/>
    </xf>
    <xf numFmtId="0" fontId="161" fillId="106"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161" fillId="127" borderId="0"/>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161" fillId="127" borderId="0"/>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93" fillId="70" borderId="58" applyNumberFormat="0" applyProtection="0">
      <alignment horizontal="left" vertical="top" indent="1"/>
    </xf>
    <xf numFmtId="0" fontId="161" fillId="127" borderId="0"/>
    <xf numFmtId="0" fontId="161" fillId="127" borderId="0"/>
    <xf numFmtId="0" fontId="161" fillId="127" borderId="0"/>
    <xf numFmtId="0" fontId="161" fillId="127" borderId="0"/>
    <xf numFmtId="0" fontId="161" fillId="127" borderId="0"/>
    <xf numFmtId="0" fontId="161" fillId="127" borderId="0"/>
    <xf numFmtId="0" fontId="344" fillId="0" borderId="0" applyNumberFormat="0" applyFill="0" applyBorder="0" applyAlignment="0" applyProtection="0"/>
    <xf numFmtId="0" fontId="21" fillId="0" borderId="0"/>
    <xf numFmtId="0" fontId="186" fillId="0" borderId="73" applyNumberFormat="0" applyFill="0" applyAlignment="0" applyProtection="0"/>
    <xf numFmtId="0" fontId="187" fillId="0" borderId="26" applyNumberFormat="0" applyFill="0" applyAlignment="0" applyProtection="0"/>
    <xf numFmtId="0" fontId="207" fillId="129" borderId="0" applyNumberFormat="0" applyBorder="0" applyAlignment="0" applyProtection="0"/>
    <xf numFmtId="0" fontId="334" fillId="32" borderId="0" applyNumberFormat="0" applyBorder="0" applyAlignment="0" applyProtection="0"/>
    <xf numFmtId="0" fontId="330" fillId="43" borderId="0" applyNumberFormat="0" applyBorder="0" applyAlignment="0" applyProtection="0"/>
    <xf numFmtId="0" fontId="193" fillId="43" borderId="71" applyNumberFormat="0" applyAlignment="0" applyProtection="0"/>
    <xf numFmtId="0" fontId="227" fillId="117" borderId="15" applyNumberFormat="0" applyAlignment="0" applyProtection="0"/>
    <xf numFmtId="0" fontId="323" fillId="117" borderId="71" applyNumberFormat="0" applyAlignment="0" applyProtection="0"/>
    <xf numFmtId="0" fontId="338" fillId="0" borderId="75" applyNumberFormat="0" applyFill="0" applyAlignment="0" applyProtection="0"/>
    <xf numFmtId="0" fontId="131" fillId="38" borderId="32" applyNumberFormat="0" applyAlignment="0" applyProtection="0"/>
    <xf numFmtId="0" fontId="339" fillId="0" borderId="0" applyNumberFormat="0" applyFill="0" applyBorder="0" applyAlignment="0" applyProtection="0"/>
    <xf numFmtId="0" fontId="21" fillId="42" borderId="74" applyNumberFormat="0" applyFont="0" applyAlignment="0" applyProtection="0"/>
    <xf numFmtId="4" fontId="96" fillId="8" borderId="58" applyNumberFormat="0" applyProtection="0">
      <alignment vertical="center"/>
    </xf>
    <xf numFmtId="4" fontId="342" fillId="8" borderId="58" applyNumberFormat="0" applyProtection="0">
      <alignment vertical="center"/>
    </xf>
    <xf numFmtId="4" fontId="96" fillId="8" borderId="58" applyNumberFormat="0" applyProtection="0">
      <alignment horizontal="left" vertical="center" indent="1"/>
    </xf>
    <xf numFmtId="0" fontId="96" fillId="8" borderId="58" applyNumberFormat="0" applyProtection="0">
      <alignment horizontal="left" vertical="top" indent="1"/>
    </xf>
    <xf numFmtId="4" fontId="27" fillId="12" borderId="58" applyNumberFormat="0" applyProtection="0">
      <alignment horizontal="right" vertical="center"/>
    </xf>
    <xf numFmtId="4" fontId="27" fillId="19" borderId="58" applyNumberFormat="0" applyProtection="0">
      <alignment horizontal="right" vertical="center"/>
    </xf>
    <xf numFmtId="4" fontId="27" fillId="90" borderId="58" applyNumberFormat="0" applyProtection="0">
      <alignment horizontal="right" vertical="center"/>
    </xf>
    <xf numFmtId="4" fontId="27" fillId="21" borderId="58" applyNumberFormat="0" applyProtection="0">
      <alignment horizontal="right" vertical="center"/>
    </xf>
    <xf numFmtId="4" fontId="27" fillId="25" borderId="58" applyNumberFormat="0" applyProtection="0">
      <alignment horizontal="right" vertical="center"/>
    </xf>
    <xf numFmtId="4" fontId="27" fillId="94" borderId="58" applyNumberFormat="0" applyProtection="0">
      <alignment horizontal="right" vertical="center"/>
    </xf>
    <xf numFmtId="4" fontId="27" fillId="96" borderId="58" applyNumberFormat="0" applyProtection="0">
      <alignment horizontal="right" vertical="center"/>
    </xf>
    <xf numFmtId="4" fontId="27" fillId="98" borderId="58" applyNumberFormat="0" applyProtection="0">
      <alignment horizontal="right" vertical="center"/>
    </xf>
    <xf numFmtId="4" fontId="27" fillId="20" borderId="58" applyNumberFormat="0" applyProtection="0">
      <alignment horizontal="right" vertical="center"/>
    </xf>
    <xf numFmtId="4" fontId="27" fillId="70" borderId="58" applyNumberFormat="0" applyProtection="0">
      <alignment horizontal="right" vertical="center"/>
    </xf>
    <xf numFmtId="0" fontId="21" fillId="103" borderId="58" applyNumberFormat="0" applyProtection="0">
      <alignment horizontal="left" vertical="center" indent="1"/>
    </xf>
    <xf numFmtId="0" fontId="21" fillId="103" borderId="58" applyNumberFormat="0" applyProtection="0">
      <alignment horizontal="left" vertical="top" indent="1"/>
    </xf>
    <xf numFmtId="0" fontId="21" fillId="70" borderId="58" applyNumberFormat="0" applyProtection="0">
      <alignment horizontal="left" vertical="center" indent="1"/>
    </xf>
    <xf numFmtId="0" fontId="21" fillId="70" borderId="58" applyNumberFormat="0" applyProtection="0">
      <alignment horizontal="left" vertical="top" indent="1"/>
    </xf>
    <xf numFmtId="0" fontId="21" fillId="18" borderId="58" applyNumberFormat="0" applyProtection="0">
      <alignment horizontal="left" vertical="center" indent="1"/>
    </xf>
    <xf numFmtId="0" fontId="21" fillId="18" borderId="58" applyNumberFormat="0" applyProtection="0">
      <alignment horizontal="left" vertical="top" indent="1"/>
    </xf>
    <xf numFmtId="0" fontId="21" fillId="106" borderId="58" applyNumberFormat="0" applyProtection="0">
      <alignment horizontal="left" vertical="center" indent="1"/>
    </xf>
    <xf numFmtId="0" fontId="21" fillId="106" borderId="58" applyNumberFormat="0" applyProtection="0">
      <alignment horizontal="left" vertical="top" indent="1"/>
    </xf>
    <xf numFmtId="4" fontId="27" fillId="109" borderId="58" applyNumberFormat="0" applyProtection="0">
      <alignment vertical="center"/>
    </xf>
    <xf numFmtId="4" fontId="247" fillId="109" borderId="58" applyNumberFormat="0" applyProtection="0">
      <alignment vertical="center"/>
    </xf>
    <xf numFmtId="4" fontId="27" fillId="109" borderId="58" applyNumberFormat="0" applyProtection="0">
      <alignment horizontal="left" vertical="center" indent="1"/>
    </xf>
    <xf numFmtId="0" fontId="27" fillId="109" borderId="58" applyNumberFormat="0" applyProtection="0">
      <alignment horizontal="left" vertical="top" indent="1"/>
    </xf>
    <xf numFmtId="4" fontId="27" fillId="106" borderId="58" applyNumberFormat="0" applyProtection="0">
      <alignment horizontal="right" vertical="center"/>
    </xf>
    <xf numFmtId="4" fontId="247" fillId="106" borderId="58" applyNumberFormat="0" applyProtection="0">
      <alignment horizontal="right" vertical="center"/>
    </xf>
    <xf numFmtId="4" fontId="27" fillId="70" borderId="58" applyNumberFormat="0" applyProtection="0">
      <alignment horizontal="left" vertical="center" indent="1"/>
    </xf>
    <xf numFmtId="0" fontId="27" fillId="70" borderId="58" applyNumberFormat="0" applyProtection="0">
      <alignment horizontal="left" vertical="top" indent="1"/>
    </xf>
    <xf numFmtId="4" fontId="238" fillId="106" borderId="58" applyNumberFormat="0" applyProtection="0">
      <alignment horizontal="right" vertical="center"/>
    </xf>
    <xf numFmtId="9" fontId="1" fillId="0" borderId="0" applyFont="0" applyFill="0" applyBorder="0" applyAlignment="0" applyProtection="0"/>
    <xf numFmtId="174" fontId="1" fillId="0" borderId="0" applyFont="0" applyFill="0" applyBorder="0" applyAlignment="0" applyProtection="0"/>
    <xf numFmtId="3" fontId="340" fillId="0" borderId="14" applyFont="0" applyBorder="0">
      <alignment horizontal="right"/>
      <protection locked="0"/>
    </xf>
    <xf numFmtId="177" fontId="94" fillId="48" borderId="14"/>
    <xf numFmtId="177" fontId="239" fillId="0" borderId="14" applyNumberFormat="0" applyFill="0" applyBorder="0" applyAlignment="0" applyProtection="0">
      <protection hidden="1"/>
    </xf>
    <xf numFmtId="177" fontId="30" fillId="46" borderId="14" applyNumberFormat="0" applyFont="0" applyBorder="0" applyAlignment="0" applyProtection="0">
      <alignment horizontal="center"/>
    </xf>
    <xf numFmtId="177" fontId="30" fillId="7" borderId="14" applyNumberFormat="0" applyFont="0" applyBorder="0" applyAlignment="0" applyProtection="0">
      <alignment horizontal="center"/>
    </xf>
    <xf numFmtId="177" fontId="209" fillId="0" borderId="14">
      <alignment horizontal="left"/>
      <protection locked="0"/>
    </xf>
    <xf numFmtId="177" fontId="169" fillId="64" borderId="14">
      <alignment horizontal="center"/>
    </xf>
    <xf numFmtId="177" fontId="169" fillId="64" borderId="14">
      <alignment horizontal="center"/>
    </xf>
    <xf numFmtId="177" fontId="84" fillId="48" borderId="14" applyNumberFormat="0" applyFont="0" applyBorder="0" applyAlignment="0" applyProtection="0">
      <protection hidden="1"/>
    </xf>
    <xf numFmtId="177" fontId="83" fillId="0" borderId="14">
      <protection hidden="1"/>
    </xf>
    <xf numFmtId="0" fontId="1" fillId="0" borderId="0"/>
    <xf numFmtId="9" fontId="1" fillId="0" borderId="0" applyFont="0" applyFill="0" applyBorder="0" applyAlignment="0" applyProtection="0"/>
    <xf numFmtId="0" fontId="1" fillId="0" borderId="0"/>
    <xf numFmtId="174" fontId="1" fillId="0" borderId="0" applyFont="0" applyFill="0" applyBorder="0" applyAlignment="0" applyProtection="0"/>
    <xf numFmtId="177" fontId="83" fillId="0" borderId="14">
      <protection hidden="1"/>
    </xf>
    <xf numFmtId="177" fontId="84" fillId="48" borderId="14" applyNumberFormat="0" applyFont="0" applyBorder="0" applyAlignment="0" applyProtection="0">
      <protection hidden="1"/>
    </xf>
    <xf numFmtId="177" fontId="169" fillId="64" borderId="14">
      <alignment horizontal="center"/>
    </xf>
    <xf numFmtId="177" fontId="169" fillId="64" borderId="14">
      <alignment horizontal="center"/>
    </xf>
    <xf numFmtId="177" fontId="209" fillId="0" borderId="14">
      <alignment horizontal="left"/>
      <protection locked="0"/>
    </xf>
    <xf numFmtId="177" fontId="30" fillId="7" borderId="14" applyNumberFormat="0" applyFont="0" applyBorder="0" applyAlignment="0" applyProtection="0">
      <alignment horizontal="center"/>
    </xf>
    <xf numFmtId="177" fontId="30" fillId="46" borderId="14" applyNumberFormat="0" applyFont="0" applyBorder="0" applyAlignment="0" applyProtection="0">
      <alignment horizontal="center"/>
    </xf>
    <xf numFmtId="177" fontId="239" fillId="0" borderId="14" applyNumberFormat="0" applyFill="0" applyBorder="0" applyAlignment="0" applyProtection="0">
      <protection hidden="1"/>
    </xf>
    <xf numFmtId="177" fontId="94" fillId="48" borderId="14"/>
    <xf numFmtId="3" fontId="340" fillId="0" borderId="14" applyFont="0" applyBorder="0">
      <alignment horizontal="right"/>
      <protection locked="0"/>
    </xf>
    <xf numFmtId="17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1" fontId="14" fillId="0" borderId="0" applyFont="0" applyFill="0" applyBorder="0" applyProtection="0">
      <alignment horizontal="right" vertical="center"/>
    </xf>
    <xf numFmtId="43" fontId="77" fillId="0" borderId="0" applyNumberFormat="0" applyFill="0" applyBorder="0" applyAlignment="0" applyProtection="0"/>
    <xf numFmtId="41" fontId="78" fillId="0" borderId="0" applyFont="0"/>
    <xf numFmtId="0" fontId="1" fillId="0" borderId="0"/>
    <xf numFmtId="41" fontId="141" fillId="0" borderId="0" applyFont="0" applyBorder="0">
      <alignment horizontal="right"/>
    </xf>
    <xf numFmtId="41"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28" fillId="0" borderId="0">
      <alignment horizontal="right"/>
    </xf>
    <xf numFmtId="41" fontId="181" fillId="0" borderId="0">
      <alignment horizontal="center"/>
    </xf>
    <xf numFmtId="43" fontId="14" fillId="0" borderId="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 fillId="0" borderId="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9" fontId="1" fillId="0" borderId="0" applyFont="0" applyFill="0" applyBorder="0" applyAlignment="0" applyProtection="0"/>
  </cellStyleXfs>
  <cellXfs count="491">
    <xf numFmtId="0" fontId="0" fillId="0" borderId="0" xfId="0"/>
    <xf numFmtId="0" fontId="6" fillId="0" borderId="0" xfId="0" applyFont="1"/>
    <xf numFmtId="0" fontId="0" fillId="4" borderId="0" xfId="0" applyFill="1"/>
    <xf numFmtId="0" fontId="9" fillId="4" borderId="0" xfId="0" applyFont="1" applyFill="1"/>
    <xf numFmtId="0" fontId="346" fillId="4" borderId="0" xfId="0" applyFont="1" applyFill="1" applyBorder="1"/>
    <xf numFmtId="0" fontId="9" fillId="4" borderId="0" xfId="0" applyFont="1" applyFill="1" applyBorder="1"/>
    <xf numFmtId="0" fontId="6" fillId="4" borderId="0" xfId="0" applyFont="1" applyFill="1"/>
    <xf numFmtId="0" fontId="10" fillId="4" borderId="0" xfId="0" applyFont="1" applyFill="1"/>
    <xf numFmtId="0" fontId="11" fillId="4" borderId="0" xfId="1" applyFont="1" applyFill="1"/>
    <xf numFmtId="0" fontId="6" fillId="4" borderId="0" xfId="0" applyFont="1" applyFill="1" applyBorder="1"/>
    <xf numFmtId="0" fontId="6" fillId="4" borderId="0" xfId="0" applyFont="1" applyFill="1" applyAlignment="1">
      <alignment horizontal="center"/>
    </xf>
    <xf numFmtId="0" fontId="6" fillId="4" borderId="0" xfId="0" applyFont="1" applyFill="1" applyAlignment="1"/>
    <xf numFmtId="0" fontId="6" fillId="4" borderId="0" xfId="0" applyFont="1" applyFill="1" applyAlignment="1">
      <alignment wrapText="1"/>
    </xf>
    <xf numFmtId="0" fontId="6" fillId="4" borderId="0" xfId="0" applyFont="1" applyFill="1" applyBorder="1" applyAlignment="1">
      <alignment wrapText="1"/>
    </xf>
    <xf numFmtId="0" fontId="349" fillId="4" borderId="0" xfId="0" applyFont="1" applyFill="1"/>
    <xf numFmtId="0" fontId="350" fillId="4" borderId="0" xfId="0" applyFont="1" applyFill="1"/>
    <xf numFmtId="0" fontId="9" fillId="130" borderId="0" xfId="0" applyFont="1" applyFill="1" applyAlignment="1">
      <alignment horizontal="center"/>
    </xf>
    <xf numFmtId="0" fontId="10" fillId="4" borderId="0" xfId="0" applyFont="1" applyFill="1" applyBorder="1"/>
    <xf numFmtId="0" fontId="9" fillId="131" borderId="0" xfId="0" applyFont="1" applyFill="1" applyAlignment="1">
      <alignment horizontal="center"/>
    </xf>
    <xf numFmtId="0" fontId="6" fillId="4" borderId="0" xfId="0" applyFont="1" applyFill="1" applyBorder="1" applyAlignment="1">
      <alignment textRotation="90"/>
    </xf>
    <xf numFmtId="0" fontId="7" fillId="4" borderId="0" xfId="0" applyFont="1" applyFill="1" applyBorder="1" applyAlignment="1">
      <alignment textRotation="90"/>
    </xf>
    <xf numFmtId="0" fontId="347" fillId="4" borderId="0" xfId="0" applyFont="1" applyFill="1" applyBorder="1"/>
    <xf numFmtId="0" fontId="7" fillId="4" borderId="0" xfId="0" applyFont="1" applyFill="1" applyBorder="1"/>
    <xf numFmtId="0" fontId="6" fillId="4" borderId="0" xfId="0" applyFont="1" applyFill="1" applyBorder="1" applyAlignment="1">
      <alignment horizontal="center"/>
    </xf>
    <xf numFmtId="0" fontId="345" fillId="4" borderId="0" xfId="0" applyFont="1" applyFill="1" applyBorder="1" applyAlignment="1">
      <alignment horizontal="right"/>
    </xf>
    <xf numFmtId="0" fontId="6" fillId="4" borderId="0" xfId="0" applyFont="1" applyFill="1" applyBorder="1" applyAlignment="1">
      <alignment horizontal="left"/>
    </xf>
    <xf numFmtId="0" fontId="6" fillId="4" borderId="0" xfId="0" applyFont="1" applyFill="1" applyBorder="1" applyAlignment="1">
      <alignment vertical="center"/>
    </xf>
    <xf numFmtId="0" fontId="10" fillId="4" borderId="0" xfId="0" applyFont="1" applyFill="1" applyBorder="1" applyAlignment="1">
      <alignment horizontal="center" vertical="center" textRotation="90"/>
    </xf>
    <xf numFmtId="0" fontId="7" fillId="4" borderId="0" xfId="0" applyFont="1" applyFill="1" applyBorder="1" applyAlignment="1">
      <alignment horizontal="center"/>
    </xf>
    <xf numFmtId="0" fontId="6" fillId="132" borderId="0" xfId="0" applyFont="1" applyFill="1" applyBorder="1"/>
    <xf numFmtId="0" fontId="9" fillId="130" borderId="0" xfId="0" applyFont="1" applyFill="1" applyBorder="1"/>
    <xf numFmtId="0" fontId="9" fillId="130" borderId="0" xfId="0" applyFont="1" applyFill="1" applyBorder="1" applyAlignment="1">
      <alignment horizontal="center"/>
    </xf>
    <xf numFmtId="0" fontId="6" fillId="4" borderId="81" xfId="0" applyFont="1" applyFill="1" applyBorder="1"/>
    <xf numFmtId="0" fontId="6" fillId="4" borderId="82" xfId="0" applyFont="1" applyFill="1" applyBorder="1"/>
    <xf numFmtId="0" fontId="9" fillId="4" borderId="0" xfId="0" applyFont="1" applyFill="1" applyBorder="1" applyAlignment="1">
      <alignment horizontal="center" vertical="center" textRotation="90"/>
    </xf>
    <xf numFmtId="0" fontId="6" fillId="4" borderId="84" xfId="0" applyFont="1" applyFill="1" applyBorder="1"/>
    <xf numFmtId="0" fontId="6" fillId="4" borderId="83" xfId="0" applyFont="1" applyFill="1" applyBorder="1"/>
    <xf numFmtId="0" fontId="6" fillId="4" borderId="83" xfId="0" applyFont="1" applyFill="1" applyBorder="1" applyAlignment="1">
      <alignment wrapText="1"/>
    </xf>
    <xf numFmtId="0" fontId="345" fillId="4" borderId="83" xfId="0" applyFont="1" applyFill="1" applyBorder="1" applyAlignment="1">
      <alignment horizontal="right"/>
    </xf>
    <xf numFmtId="0" fontId="6" fillId="4" borderId="83" xfId="0" applyFont="1" applyFill="1" applyBorder="1" applyAlignment="1">
      <alignment vertical="center"/>
    </xf>
    <xf numFmtId="0" fontId="6" fillId="4" borderId="83" xfId="0" applyFont="1" applyFill="1" applyBorder="1" applyAlignment="1">
      <alignment horizontal="left"/>
    </xf>
    <xf numFmtId="0" fontId="6" fillId="4" borderId="85" xfId="0" applyFont="1" applyFill="1" applyBorder="1"/>
    <xf numFmtId="0" fontId="9" fillId="130" borderId="87" xfId="0" applyFont="1" applyFill="1" applyBorder="1" applyAlignment="1">
      <alignment horizontal="center"/>
    </xf>
    <xf numFmtId="0" fontId="6" fillId="4" borderId="89" xfId="0" applyFont="1" applyFill="1" applyBorder="1" applyAlignment="1">
      <alignment horizontal="center"/>
    </xf>
    <xf numFmtId="0" fontId="6" fillId="4" borderId="90" xfId="0" applyFont="1" applyFill="1" applyBorder="1" applyAlignment="1">
      <alignment horizontal="center"/>
    </xf>
    <xf numFmtId="0" fontId="6" fillId="4" borderId="87" xfId="0" applyFont="1" applyFill="1" applyBorder="1" applyAlignment="1">
      <alignment horizontal="center"/>
    </xf>
    <xf numFmtId="9" fontId="6" fillId="4" borderId="90" xfId="0" applyNumberFormat="1" applyFont="1" applyFill="1" applyBorder="1" applyAlignment="1">
      <alignment horizontal="center"/>
    </xf>
    <xf numFmtId="9" fontId="6" fillId="4" borderId="87" xfId="0" applyNumberFormat="1" applyFont="1" applyFill="1" applyBorder="1" applyAlignment="1">
      <alignment horizontal="center"/>
    </xf>
    <xf numFmtId="9" fontId="6" fillId="4" borderId="90" xfId="28297" applyFont="1" applyFill="1" applyBorder="1" applyAlignment="1">
      <alignment horizontal="center"/>
    </xf>
    <xf numFmtId="176" fontId="6" fillId="4" borderId="90" xfId="28297" applyNumberFormat="1" applyFont="1" applyFill="1" applyBorder="1" applyAlignment="1">
      <alignment horizontal="center"/>
    </xf>
    <xf numFmtId="10" fontId="6" fillId="4" borderId="90" xfId="0" applyNumberFormat="1" applyFont="1" applyFill="1" applyBorder="1" applyAlignment="1">
      <alignment horizontal="center"/>
    </xf>
    <xf numFmtId="10" fontId="7" fillId="4" borderId="90" xfId="0" applyNumberFormat="1" applyFont="1" applyFill="1" applyBorder="1" applyAlignment="1">
      <alignment horizontal="center"/>
    </xf>
    <xf numFmtId="10" fontId="6" fillId="4" borderId="87" xfId="0" applyNumberFormat="1" applyFont="1" applyFill="1" applyBorder="1" applyAlignment="1">
      <alignment horizontal="center"/>
    </xf>
    <xf numFmtId="9" fontId="6" fillId="4" borderId="87" xfId="28297" applyFont="1" applyFill="1" applyBorder="1" applyAlignment="1">
      <alignment horizontal="center"/>
    </xf>
    <xf numFmtId="0" fontId="6" fillId="4" borderId="92" xfId="0" applyFont="1" applyFill="1" applyBorder="1" applyAlignment="1">
      <alignment horizontal="center"/>
    </xf>
    <xf numFmtId="0" fontId="10" fillId="4" borderId="81" xfId="0" applyFont="1" applyFill="1" applyBorder="1" applyAlignment="1"/>
    <xf numFmtId="0" fontId="347" fillId="4" borderId="80" xfId="0" applyFont="1" applyFill="1" applyBorder="1" applyAlignment="1"/>
    <xf numFmtId="0" fontId="353" fillId="4" borderId="80" xfId="0" applyFont="1" applyFill="1" applyBorder="1" applyAlignment="1"/>
    <xf numFmtId="0" fontId="354" fillId="4" borderId="81" xfId="0" applyFont="1" applyFill="1" applyBorder="1" applyAlignment="1"/>
    <xf numFmtId="0" fontId="6" fillId="4" borderId="87" xfId="0" applyFont="1" applyFill="1" applyBorder="1"/>
    <xf numFmtId="0" fontId="355" fillId="0" borderId="0" xfId="0" applyFont="1"/>
    <xf numFmtId="0" fontId="9" fillId="130" borderId="80" xfId="0" applyFont="1" applyFill="1" applyBorder="1"/>
    <xf numFmtId="0" fontId="6" fillId="4" borderId="93" xfId="0" applyFont="1" applyFill="1" applyBorder="1"/>
    <xf numFmtId="0" fontId="6" fillId="4" borderId="94" xfId="0" applyFont="1" applyFill="1" applyBorder="1"/>
    <xf numFmtId="0" fontId="9" fillId="130" borderId="88" xfId="0" applyFont="1" applyFill="1" applyBorder="1"/>
    <xf numFmtId="0" fontId="6" fillId="4" borderId="91" xfId="0" applyFont="1" applyFill="1" applyBorder="1"/>
    <xf numFmtId="0" fontId="6" fillId="4" borderId="95" xfId="0" applyFont="1" applyFill="1" applyBorder="1"/>
    <xf numFmtId="0" fontId="6" fillId="4" borderId="90" xfId="0" applyFont="1" applyFill="1" applyBorder="1"/>
    <xf numFmtId="0" fontId="6" fillId="4" borderId="96" xfId="0" applyFont="1" applyFill="1" applyBorder="1"/>
    <xf numFmtId="0" fontId="6" fillId="4" borderId="0" xfId="0" applyFont="1" applyFill="1" applyAlignment="1">
      <alignment horizontal="center"/>
    </xf>
    <xf numFmtId="0" fontId="9" fillId="4" borderId="0" xfId="0" applyFont="1" applyFill="1" applyBorder="1" applyAlignment="1">
      <alignment horizontal="center" vertical="center" textRotation="90" wrapText="1"/>
    </xf>
    <xf numFmtId="0" fontId="9" fillId="4" borderId="0" xfId="0" applyFont="1" applyFill="1" applyBorder="1" applyAlignment="1">
      <alignment horizontal="center" textRotation="90"/>
    </xf>
    <xf numFmtId="0" fontId="345" fillId="4" borderId="0" xfId="0" applyFont="1" applyFill="1"/>
    <xf numFmtId="0" fontId="6" fillId="4" borderId="85" xfId="0" applyFont="1" applyFill="1" applyBorder="1" applyAlignment="1">
      <alignment vertical="center"/>
    </xf>
    <xf numFmtId="0" fontId="10" fillId="4" borderId="81" xfId="0" applyFont="1" applyFill="1" applyBorder="1" applyAlignment="1">
      <alignment vertical="center"/>
    </xf>
    <xf numFmtId="0" fontId="351" fillId="4" borderId="0" xfId="0" applyFont="1" applyFill="1" applyAlignment="1">
      <alignment horizontal="center"/>
    </xf>
    <xf numFmtId="0" fontId="9" fillId="130" borderId="0" xfId="0" applyFont="1" applyFill="1" applyAlignment="1">
      <alignment horizontal="center" vertical="center" wrapText="1"/>
    </xf>
    <xf numFmtId="0" fontId="9" fillId="130" borderId="0" xfId="0" applyFont="1" applyFill="1" applyAlignment="1">
      <alignment horizontal="center"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6" fillId="4" borderId="0" xfId="0" applyFont="1" applyFill="1" applyAlignment="1">
      <alignment vertical="center"/>
    </xf>
    <xf numFmtId="0" fontId="10" fillId="4" borderId="0" xfId="0" applyFont="1" applyFill="1" applyAlignment="1">
      <alignment horizontal="center" vertical="center"/>
    </xf>
    <xf numFmtId="3" fontId="6" fillId="4" borderId="0" xfId="0" applyNumberFormat="1" applyFont="1" applyFill="1"/>
    <xf numFmtId="176" fontId="6" fillId="4" borderId="0" xfId="28297" applyNumberFormat="1" applyFont="1" applyFill="1"/>
    <xf numFmtId="10" fontId="6" fillId="4" borderId="0" xfId="0" applyNumberFormat="1" applyFont="1" applyFill="1"/>
    <xf numFmtId="14" fontId="6" fillId="4" borderId="0" xfId="0" applyNumberFormat="1" applyFont="1" applyFill="1"/>
    <xf numFmtId="0" fontId="6" fillId="4" borderId="0" xfId="0" applyFont="1" applyFill="1" applyAlignment="1">
      <alignment horizontal="center" vertical="center"/>
    </xf>
    <xf numFmtId="49" fontId="6" fillId="4" borderId="0" xfId="0" applyNumberFormat="1" applyFont="1" applyFill="1" applyAlignment="1">
      <alignment horizontal="right"/>
    </xf>
    <xf numFmtId="14" fontId="6" fillId="4" borderId="83" xfId="0" applyNumberFormat="1" applyFont="1" applyFill="1" applyBorder="1"/>
    <xf numFmtId="9" fontId="6" fillId="4" borderId="83" xfId="28297" applyFont="1" applyFill="1" applyBorder="1"/>
    <xf numFmtId="176" fontId="6" fillId="4" borderId="83" xfId="28297" applyNumberFormat="1" applyFont="1" applyFill="1" applyBorder="1"/>
    <xf numFmtId="3" fontId="6" fillId="4" borderId="83" xfId="0" applyNumberFormat="1" applyFont="1" applyFill="1" applyBorder="1"/>
    <xf numFmtId="0" fontId="6" fillId="4" borderId="83" xfId="0" applyFont="1" applyFill="1" applyBorder="1" applyAlignment="1">
      <alignment horizontal="center" vertical="center"/>
    </xf>
    <xf numFmtId="0" fontId="356" fillId="4" borderId="83" xfId="0" applyFont="1" applyFill="1" applyBorder="1"/>
    <xf numFmtId="0" fontId="6" fillId="4" borderId="83" xfId="0" applyFont="1" applyFill="1" applyBorder="1" applyAlignment="1">
      <alignment horizontal="center"/>
    </xf>
    <xf numFmtId="0" fontId="354" fillId="4" borderId="0" xfId="0" applyFont="1" applyFill="1"/>
    <xf numFmtId="0" fontId="354" fillId="4" borderId="0" xfId="0" applyFont="1" applyFill="1" applyBorder="1"/>
    <xf numFmtId="14" fontId="6" fillId="4" borderId="84" xfId="0" applyNumberFormat="1" applyFont="1" applyFill="1" applyBorder="1"/>
    <xf numFmtId="176" fontId="6" fillId="4" borderId="84" xfId="28297" applyNumberFormat="1" applyFont="1" applyFill="1" applyBorder="1"/>
    <xf numFmtId="14" fontId="6" fillId="4" borderId="94" xfId="0" applyNumberFormat="1" applyFont="1" applyFill="1" applyBorder="1"/>
    <xf numFmtId="0" fontId="10" fillId="4" borderId="94" xfId="0" applyFont="1" applyFill="1" applyBorder="1"/>
    <xf numFmtId="0" fontId="354" fillId="4" borderId="94" xfId="0" applyFont="1" applyFill="1" applyBorder="1" applyAlignment="1">
      <alignment horizontal="center"/>
    </xf>
    <xf numFmtId="0" fontId="354" fillId="4" borderId="94" xfId="0" applyFont="1" applyFill="1" applyBorder="1" applyAlignment="1"/>
    <xf numFmtId="14" fontId="6" fillId="4" borderId="84" xfId="0" applyNumberFormat="1" applyFont="1" applyFill="1" applyBorder="1" applyAlignment="1">
      <alignment horizontal="center"/>
    </xf>
    <xf numFmtId="14" fontId="6" fillId="4" borderId="94" xfId="0" applyNumberFormat="1" applyFont="1" applyFill="1" applyBorder="1" applyAlignment="1">
      <alignment horizontal="center"/>
    </xf>
    <xf numFmtId="0" fontId="354" fillId="4" borderId="81" xfId="0" applyFont="1" applyFill="1" applyBorder="1" applyAlignment="1">
      <alignment horizontal="center"/>
    </xf>
    <xf numFmtId="14" fontId="6" fillId="4" borderId="83" xfId="0" applyNumberFormat="1" applyFont="1" applyFill="1" applyBorder="1" applyAlignment="1">
      <alignment horizontal="center"/>
    </xf>
    <xf numFmtId="0" fontId="6" fillId="4" borderId="84" xfId="0" applyFont="1" applyFill="1" applyBorder="1" applyAlignment="1">
      <alignment horizontal="center"/>
    </xf>
    <xf numFmtId="0" fontId="6" fillId="4" borderId="94" xfId="0" applyFont="1" applyFill="1" applyBorder="1" applyAlignment="1">
      <alignment horizontal="center"/>
    </xf>
    <xf numFmtId="3" fontId="6" fillId="4" borderId="83" xfId="0" applyNumberFormat="1" applyFont="1" applyFill="1" applyBorder="1" applyAlignment="1">
      <alignment horizontal="right"/>
    </xf>
    <xf numFmtId="3" fontId="6" fillId="4" borderId="94" xfId="0" applyNumberFormat="1" applyFont="1" applyFill="1" applyBorder="1" applyAlignment="1">
      <alignment horizontal="right"/>
    </xf>
    <xf numFmtId="3" fontId="10" fillId="4" borderId="81" xfId="0" applyNumberFormat="1" applyFont="1" applyFill="1" applyBorder="1" applyAlignment="1">
      <alignment horizontal="right"/>
    </xf>
    <xf numFmtId="9" fontId="10" fillId="4" borderId="81" xfId="28297" applyFont="1" applyFill="1" applyBorder="1" applyAlignment="1">
      <alignment horizontal="right"/>
    </xf>
    <xf numFmtId="170" fontId="7" fillId="0" borderId="0" xfId="0" applyNumberFormat="1" applyFont="1" applyAlignment="1">
      <alignment vertical="center"/>
    </xf>
    <xf numFmtId="0" fontId="353" fillId="4" borderId="0" xfId="0" applyFont="1" applyFill="1" applyBorder="1"/>
    <xf numFmtId="0" fontId="353" fillId="4" borderId="0" xfId="0" applyFont="1" applyFill="1"/>
    <xf numFmtId="0" fontId="10" fillId="4" borderId="98" xfId="0" applyFont="1" applyFill="1" applyBorder="1"/>
    <xf numFmtId="0" fontId="345" fillId="4" borderId="84" xfId="0" applyFont="1" applyFill="1" applyBorder="1"/>
    <xf numFmtId="0" fontId="345" fillId="4" borderId="83" xfId="0" applyFont="1" applyFill="1" applyBorder="1"/>
    <xf numFmtId="0" fontId="9" fillId="4" borderId="0" xfId="0" applyFont="1" applyFill="1" applyBorder="1" applyAlignment="1">
      <alignment vertical="center" textRotation="90"/>
    </xf>
    <xf numFmtId="0" fontId="10" fillId="4" borderId="81" xfId="0" applyFont="1" applyFill="1" applyBorder="1"/>
    <xf numFmtId="0" fontId="10" fillId="4" borderId="84" xfId="0" applyFont="1" applyFill="1" applyBorder="1"/>
    <xf numFmtId="0" fontId="10" fillId="4" borderId="93" xfId="0" applyFont="1" applyFill="1" applyBorder="1"/>
    <xf numFmtId="0" fontId="349" fillId="4" borderId="0" xfId="0" applyFont="1" applyFill="1" applyBorder="1"/>
    <xf numFmtId="0" fontId="6" fillId="4" borderId="94" xfId="0" applyFont="1" applyFill="1" applyBorder="1" applyAlignment="1">
      <alignment wrapText="1"/>
    </xf>
    <xf numFmtId="0" fontId="6" fillId="4" borderId="0" xfId="0" applyFont="1" applyFill="1" applyBorder="1" applyAlignment="1"/>
    <xf numFmtId="0" fontId="6" fillId="4" borderId="83" xfId="0" applyFont="1" applyFill="1" applyBorder="1" applyAlignment="1"/>
    <xf numFmtId="0" fontId="9" fillId="130" borderId="0" xfId="0" applyFont="1" applyFill="1" applyAlignment="1">
      <alignment horizontal="center" vertical="center" wrapText="1"/>
    </xf>
    <xf numFmtId="0" fontId="9" fillId="130" borderId="0" xfId="0" applyFont="1" applyFill="1" applyAlignment="1">
      <alignment horizontal="center" vertical="center"/>
    </xf>
    <xf numFmtId="14" fontId="6" fillId="4" borderId="83" xfId="0" applyNumberFormat="1" applyFont="1" applyFill="1" applyBorder="1" applyAlignment="1">
      <alignment horizontal="right"/>
    </xf>
    <xf numFmtId="0" fontId="9" fillId="4" borderId="0" xfId="0" applyFont="1" applyFill="1" applyBorder="1" applyAlignment="1">
      <alignment vertical="center" textRotation="90" wrapText="1"/>
    </xf>
    <xf numFmtId="0" fontId="346" fillId="4" borderId="0" xfId="0" applyFont="1" applyFill="1" applyBorder="1" applyAlignment="1">
      <alignment wrapText="1"/>
    </xf>
    <xf numFmtId="0" fontId="345" fillId="4" borderId="0" xfId="0" applyFont="1" applyFill="1" applyAlignment="1">
      <alignment wrapText="1"/>
    </xf>
    <xf numFmtId="3" fontId="6" fillId="4" borderId="84" xfId="0" applyNumberFormat="1" applyFont="1" applyFill="1" applyBorder="1"/>
    <xf numFmtId="3" fontId="6" fillId="4" borderId="0" xfId="0" applyNumberFormat="1" applyFont="1" applyFill="1" applyBorder="1"/>
    <xf numFmtId="257" fontId="6" fillId="4" borderId="0" xfId="0" applyNumberFormat="1" applyFont="1" applyFill="1" applyBorder="1"/>
    <xf numFmtId="257" fontId="6" fillId="4" borderId="0" xfId="0" applyNumberFormat="1" applyFont="1" applyFill="1"/>
    <xf numFmtId="3" fontId="6" fillId="4" borderId="85" xfId="0" applyNumberFormat="1" applyFont="1" applyFill="1" applyBorder="1"/>
    <xf numFmtId="3" fontId="6" fillId="4" borderId="98" xfId="0" applyNumberFormat="1" applyFont="1" applyFill="1" applyBorder="1"/>
    <xf numFmtId="3" fontId="6" fillId="4" borderId="83" xfId="0" applyNumberFormat="1" applyFont="1" applyFill="1" applyBorder="1" applyAlignment="1">
      <alignment wrapText="1"/>
    </xf>
    <xf numFmtId="3" fontId="6" fillId="4" borderId="101" xfId="0" applyNumberFormat="1" applyFont="1" applyFill="1" applyBorder="1"/>
    <xf numFmtId="3" fontId="6" fillId="4" borderId="102" xfId="0" applyNumberFormat="1" applyFont="1" applyFill="1" applyBorder="1"/>
    <xf numFmtId="3" fontId="10" fillId="4" borderId="98" xfId="0" applyNumberFormat="1" applyFont="1" applyFill="1" applyBorder="1"/>
    <xf numFmtId="0" fontId="10" fillId="4" borderId="83" xfId="0" applyFont="1" applyFill="1" applyBorder="1"/>
    <xf numFmtId="0" fontId="9" fillId="130" borderId="103" xfId="0" applyFont="1" applyFill="1" applyBorder="1" applyAlignment="1">
      <alignment horizontal="center" vertical="center" wrapText="1"/>
    </xf>
    <xf numFmtId="0" fontId="6" fillId="4" borderId="84" xfId="0" applyFont="1" applyFill="1" applyBorder="1" applyAlignment="1"/>
    <xf numFmtId="14" fontId="6" fillId="4" borderId="0" xfId="0" applyNumberFormat="1" applyFont="1" applyFill="1" applyBorder="1" applyAlignment="1">
      <alignment horizontal="center"/>
    </xf>
    <xf numFmtId="176" fontId="6" fillId="4" borderId="0" xfId="28297" applyNumberFormat="1" applyFont="1" applyFill="1" applyBorder="1"/>
    <xf numFmtId="14" fontId="6" fillId="4" borderId="0" xfId="0" applyNumberFormat="1" applyFont="1" applyFill="1" applyBorder="1"/>
    <xf numFmtId="0" fontId="6" fillId="4" borderId="84" xfId="0" applyFont="1" applyFill="1" applyBorder="1" applyAlignment="1">
      <alignment horizontal="right"/>
    </xf>
    <xf numFmtId="0" fontId="6" fillId="4" borderId="83" xfId="0" applyFont="1" applyFill="1" applyBorder="1" applyAlignment="1">
      <alignment horizontal="right"/>
    </xf>
    <xf numFmtId="0" fontId="346" fillId="4" borderId="0" xfId="0" applyFont="1" applyFill="1" applyBorder="1" applyAlignment="1"/>
    <xf numFmtId="0" fontId="9" fillId="4" borderId="0" xfId="0" applyFont="1" applyFill="1" applyBorder="1" applyAlignment="1">
      <alignment horizontal="center"/>
    </xf>
    <xf numFmtId="0" fontId="9" fillId="4" borderId="0" xfId="0" applyFont="1" applyFill="1" applyAlignment="1">
      <alignment vertical="center" textRotation="90" wrapText="1"/>
    </xf>
    <xf numFmtId="170" fontId="6" fillId="4" borderId="85" xfId="0" applyNumberFormat="1" applyFont="1" applyFill="1" applyBorder="1"/>
    <xf numFmtId="170" fontId="6" fillId="4" borderId="83" xfId="0" applyNumberFormat="1" applyFont="1" applyFill="1" applyBorder="1"/>
    <xf numFmtId="170" fontId="6" fillId="4" borderId="94" xfId="0" applyNumberFormat="1" applyFont="1" applyFill="1" applyBorder="1"/>
    <xf numFmtId="170" fontId="6" fillId="4" borderId="84" xfId="0" applyNumberFormat="1" applyFont="1" applyFill="1" applyBorder="1"/>
    <xf numFmtId="0" fontId="345" fillId="4" borderId="0" xfId="0" applyFont="1" applyFill="1" applyAlignment="1"/>
    <xf numFmtId="9" fontId="6" fillId="4" borderId="0" xfId="28297" applyFont="1" applyFill="1"/>
    <xf numFmtId="170" fontId="6" fillId="4" borderId="81" xfId="0" applyNumberFormat="1" applyFont="1" applyFill="1" applyBorder="1"/>
    <xf numFmtId="170" fontId="0" fillId="4" borderId="0" xfId="0" applyNumberFormat="1" applyFill="1"/>
    <xf numFmtId="170" fontId="9" fillId="130" borderId="0" xfId="0" applyNumberFormat="1" applyFont="1" applyFill="1" applyAlignment="1">
      <alignment horizontal="center"/>
    </xf>
    <xf numFmtId="170" fontId="349" fillId="4" borderId="0" xfId="0" applyNumberFormat="1" applyFont="1" applyFill="1" applyAlignment="1">
      <alignment horizontal="center"/>
    </xf>
    <xf numFmtId="170" fontId="6" fillId="4" borderId="0" xfId="0" applyNumberFormat="1" applyFont="1" applyFill="1" applyBorder="1"/>
    <xf numFmtId="0" fontId="357" fillId="4" borderId="0" xfId="0" applyFont="1" applyFill="1" applyBorder="1" applyAlignment="1"/>
    <xf numFmtId="0" fontId="358" fillId="4" borderId="0" xfId="0" applyFont="1" applyFill="1" applyBorder="1" applyAlignment="1">
      <alignment vertical="center" textRotation="90"/>
    </xf>
    <xf numFmtId="0" fontId="357" fillId="4" borderId="0" xfId="0" applyFont="1" applyFill="1" applyBorder="1"/>
    <xf numFmtId="0" fontId="359" fillId="4" borderId="0" xfId="0" applyFont="1" applyFill="1"/>
    <xf numFmtId="170" fontId="0" fillId="4" borderId="0" xfId="0" applyNumberFormat="1" applyFill="1" applyAlignment="1">
      <alignment horizontal="right"/>
    </xf>
    <xf numFmtId="170" fontId="6" fillId="4" borderId="84" xfId="0" applyNumberFormat="1" applyFont="1" applyFill="1" applyBorder="1" applyAlignment="1">
      <alignment horizontal="right"/>
    </xf>
    <xf numFmtId="170" fontId="6" fillId="4" borderId="83" xfId="0" applyNumberFormat="1" applyFont="1" applyFill="1" applyBorder="1" applyAlignment="1">
      <alignment horizontal="right"/>
    </xf>
    <xf numFmtId="170" fontId="349" fillId="4" borderId="0" xfId="0" applyNumberFormat="1" applyFont="1" applyFill="1" applyAlignment="1"/>
    <xf numFmtId="170" fontId="6" fillId="4" borderId="0" xfId="0" applyNumberFormat="1" applyFont="1" applyFill="1"/>
    <xf numFmtId="170" fontId="6" fillId="4" borderId="0" xfId="0" applyNumberFormat="1" applyFont="1" applyFill="1" applyAlignment="1">
      <alignment horizontal="right"/>
    </xf>
    <xf numFmtId="0" fontId="351" fillId="4" borderId="0" xfId="0" applyFont="1" applyFill="1" applyAlignment="1">
      <alignment horizontal="center"/>
    </xf>
    <xf numFmtId="170" fontId="10" fillId="4" borderId="0" xfId="0" applyNumberFormat="1" applyFont="1" applyFill="1"/>
    <xf numFmtId="170" fontId="349" fillId="4" borderId="0" xfId="0" applyNumberFormat="1" applyFont="1" applyFill="1" applyBorder="1"/>
    <xf numFmtId="170" fontId="6" fillId="4" borderId="0" xfId="0" applyNumberFormat="1" applyFont="1" applyFill="1" applyBorder="1" applyAlignment="1">
      <alignment wrapText="1"/>
    </xf>
    <xf numFmtId="170" fontId="6" fillId="4" borderId="0" xfId="0" applyNumberFormat="1" applyFont="1" applyFill="1" applyAlignment="1">
      <alignment wrapText="1"/>
    </xf>
    <xf numFmtId="170" fontId="349" fillId="4" borderId="0" xfId="0" applyNumberFormat="1" applyFont="1" applyFill="1"/>
    <xf numFmtId="1" fontId="6" fillId="4" borderId="90" xfId="0" applyNumberFormat="1" applyFont="1" applyFill="1" applyBorder="1" applyAlignment="1">
      <alignment horizontal="center"/>
    </xf>
    <xf numFmtId="1" fontId="7" fillId="4" borderId="90" xfId="0" applyNumberFormat="1" applyFont="1" applyFill="1" applyBorder="1" applyAlignment="1">
      <alignment horizontal="center"/>
    </xf>
    <xf numFmtId="0" fontId="7" fillId="4" borderId="83" xfId="0" applyFont="1" applyFill="1" applyBorder="1"/>
    <xf numFmtId="0" fontId="7" fillId="4" borderId="90" xfId="0" applyFont="1" applyFill="1" applyBorder="1" applyAlignment="1">
      <alignment horizontal="center"/>
    </xf>
    <xf numFmtId="0" fontId="10" fillId="4" borderId="83" xfId="0" applyFont="1" applyFill="1" applyBorder="1" applyAlignment="1"/>
    <xf numFmtId="0" fontId="10" fillId="4" borderId="90" xfId="0" applyFont="1" applyFill="1" applyBorder="1" applyAlignment="1"/>
    <xf numFmtId="0" fontId="6" fillId="4" borderId="83" xfId="0" applyFont="1" applyFill="1" applyBorder="1" applyAlignment="1">
      <alignment horizontal="left" vertical="top"/>
    </xf>
    <xf numFmtId="0" fontId="6" fillId="4" borderId="90" xfId="0" applyFont="1" applyFill="1" applyBorder="1" applyAlignment="1">
      <alignment wrapText="1"/>
    </xf>
    <xf numFmtId="0" fontId="6" fillId="4" borderId="90" xfId="0" applyFont="1" applyFill="1" applyBorder="1" applyAlignment="1">
      <alignment horizontal="left" wrapText="1"/>
    </xf>
    <xf numFmtId="16" fontId="6" fillId="4" borderId="90" xfId="0" applyNumberFormat="1" applyFont="1" applyFill="1" applyBorder="1" applyAlignment="1">
      <alignment horizontal="left" wrapText="1"/>
    </xf>
    <xf numFmtId="0" fontId="11" fillId="4" borderId="90" xfId="1" applyFont="1" applyFill="1" applyBorder="1"/>
    <xf numFmtId="257" fontId="6" fillId="4" borderId="90" xfId="0" applyNumberFormat="1" applyFont="1" applyFill="1" applyBorder="1" applyAlignment="1">
      <alignment horizontal="center"/>
    </xf>
    <xf numFmtId="0" fontId="6" fillId="4" borderId="86" xfId="0" applyFont="1" applyFill="1" applyBorder="1" applyAlignment="1">
      <alignment horizontal="center"/>
    </xf>
    <xf numFmtId="3" fontId="6" fillId="4" borderId="86" xfId="0" applyNumberFormat="1" applyFont="1" applyFill="1" applyBorder="1" applyAlignment="1">
      <alignment horizontal="center"/>
    </xf>
    <xf numFmtId="3" fontId="6" fillId="4" borderId="90" xfId="0" applyNumberFormat="1" applyFont="1" applyFill="1" applyBorder="1" applyAlignment="1">
      <alignment horizontal="center"/>
    </xf>
    <xf numFmtId="0" fontId="7" fillId="139" borderId="0" xfId="0" applyFont="1" applyFill="1" applyBorder="1"/>
    <xf numFmtId="0" fontId="7" fillId="130" borderId="0" xfId="0" applyFont="1" applyFill="1" applyBorder="1" applyAlignment="1">
      <alignment textRotation="90"/>
    </xf>
    <xf numFmtId="0" fontId="351" fillId="4" borderId="0" xfId="0" applyFont="1" applyFill="1" applyAlignment="1"/>
    <xf numFmtId="170" fontId="351" fillId="4" borderId="0" xfId="0" applyNumberFormat="1" applyFont="1" applyFill="1" applyAlignment="1">
      <alignment horizontal="center"/>
    </xf>
    <xf numFmtId="170" fontId="351" fillId="4" borderId="0" xfId="0" applyNumberFormat="1" applyFont="1" applyFill="1" applyAlignment="1"/>
    <xf numFmtId="170" fontId="9" fillId="131" borderId="0" xfId="0" applyNumberFormat="1" applyFont="1" applyFill="1" applyAlignment="1">
      <alignment horizontal="center"/>
    </xf>
    <xf numFmtId="258" fontId="6" fillId="4" borderId="0" xfId="0" applyNumberFormat="1" applyFont="1" applyFill="1"/>
    <xf numFmtId="3" fontId="351" fillId="4" borderId="0" xfId="0" applyNumberFormat="1" applyFont="1" applyFill="1"/>
    <xf numFmtId="170" fontId="347" fillId="0" borderId="0" xfId="0" applyNumberFormat="1" applyFont="1" applyAlignment="1">
      <alignment vertical="center"/>
    </xf>
    <xf numFmtId="0" fontId="10" fillId="4" borderId="0" xfId="0" applyFont="1" applyFill="1" applyBorder="1" applyAlignment="1">
      <alignment vertical="center"/>
    </xf>
    <xf numFmtId="0" fontId="7" fillId="4" borderId="0" xfId="0" applyFont="1" applyFill="1" applyAlignment="1">
      <alignment horizontal="center"/>
    </xf>
    <xf numFmtId="0" fontId="347" fillId="4" borderId="0" xfId="0" applyFont="1" applyFill="1" applyAlignment="1">
      <alignment horizontal="center"/>
    </xf>
    <xf numFmtId="0" fontId="6" fillId="4" borderId="94" xfId="0" applyFont="1" applyFill="1" applyBorder="1" applyAlignment="1">
      <alignment vertical="center"/>
    </xf>
    <xf numFmtId="0" fontId="345" fillId="4" borderId="83" xfId="0" applyFont="1" applyFill="1" applyBorder="1" applyAlignment="1">
      <alignment vertical="center"/>
    </xf>
    <xf numFmtId="3" fontId="6" fillId="4" borderId="0" xfId="0" applyNumberFormat="1" applyFont="1" applyFill="1" applyBorder="1" applyAlignment="1">
      <alignment horizontal="right"/>
    </xf>
    <xf numFmtId="3" fontId="6" fillId="4" borderId="0" xfId="0" applyNumberFormat="1" applyFont="1" applyFill="1" applyAlignment="1">
      <alignment wrapText="1"/>
    </xf>
    <xf numFmtId="0" fontId="6" fillId="4" borderId="0" xfId="0" applyFont="1" applyFill="1" applyAlignment="1">
      <alignment horizontal="right"/>
    </xf>
    <xf numFmtId="0" fontId="10" fillId="4" borderId="98" xfId="0" applyFont="1" applyFill="1" applyBorder="1" applyAlignment="1">
      <alignment horizontal="right"/>
    </xf>
    <xf numFmtId="1" fontId="6" fillId="4" borderId="83" xfId="0" applyNumberFormat="1" applyFont="1" applyFill="1" applyBorder="1" applyAlignment="1">
      <alignment horizontal="right"/>
    </xf>
    <xf numFmtId="258" fontId="6" fillId="4" borderId="83" xfId="0" applyNumberFormat="1" applyFont="1" applyFill="1" applyBorder="1" applyAlignment="1">
      <alignment horizontal="right"/>
    </xf>
    <xf numFmtId="170" fontId="361" fillId="4" borderId="83" xfId="0" applyNumberFormat="1" applyFont="1" applyFill="1" applyBorder="1" applyAlignment="1">
      <alignment horizontal="right"/>
    </xf>
    <xf numFmtId="170" fontId="10" fillId="4" borderId="98" xfId="0" applyNumberFormat="1" applyFont="1" applyFill="1" applyBorder="1" applyAlignment="1">
      <alignment horizontal="right"/>
    </xf>
    <xf numFmtId="3" fontId="6" fillId="4" borderId="100" xfId="0" applyNumberFormat="1" applyFont="1" applyFill="1" applyBorder="1"/>
    <xf numFmtId="0" fontId="6" fillId="4" borderId="7" xfId="0" applyFont="1" applyFill="1" applyBorder="1"/>
    <xf numFmtId="257" fontId="6" fillId="4" borderId="83" xfId="0" applyNumberFormat="1" applyFont="1" applyFill="1" applyBorder="1"/>
    <xf numFmtId="3" fontId="6" fillId="0" borderId="101" xfId="0" applyNumberFormat="1" applyFont="1" applyFill="1" applyBorder="1"/>
    <xf numFmtId="0" fontId="6" fillId="4" borderId="0" xfId="0" applyFont="1" applyFill="1" applyBorder="1" applyAlignment="1">
      <alignment horizontal="center" vertical="center"/>
    </xf>
    <xf numFmtId="0" fontId="6" fillId="4" borderId="83" xfId="0" applyFont="1" applyFill="1" applyBorder="1" applyAlignment="1">
      <alignment horizontal="center" vertical="center" wrapText="1"/>
    </xf>
    <xf numFmtId="261" fontId="9" fillId="131" borderId="0" xfId="0" applyNumberFormat="1" applyFont="1" applyFill="1" applyBorder="1" applyAlignment="1">
      <alignment horizontal="center"/>
    </xf>
    <xf numFmtId="0" fontId="346" fillId="130" borderId="0" xfId="0" applyFont="1" applyFill="1" applyBorder="1" applyAlignment="1">
      <alignment wrapText="1"/>
    </xf>
    <xf numFmtId="0" fontId="9" fillId="130" borderId="0" xfId="0" applyFont="1" applyFill="1" applyBorder="1" applyAlignment="1">
      <alignment horizontal="center" vertical="center" wrapText="1"/>
    </xf>
    <xf numFmtId="257" fontId="6" fillId="4" borderId="84" xfId="0" applyNumberFormat="1" applyFont="1" applyFill="1" applyBorder="1"/>
    <xf numFmtId="257" fontId="6" fillId="4" borderId="85" xfId="0" applyNumberFormat="1" applyFont="1" applyFill="1" applyBorder="1"/>
    <xf numFmtId="3" fontId="6" fillId="4" borderId="86" xfId="0" applyNumberFormat="1" applyFont="1" applyFill="1" applyBorder="1"/>
    <xf numFmtId="3" fontId="6" fillId="4" borderId="90" xfId="0" applyNumberFormat="1" applyFont="1" applyFill="1" applyBorder="1"/>
    <xf numFmtId="3" fontId="6" fillId="4" borderId="92" xfId="0" applyNumberFormat="1" applyFont="1" applyFill="1" applyBorder="1"/>
    <xf numFmtId="0" fontId="10" fillId="4" borderId="81" xfId="0" applyFont="1" applyFill="1" applyBorder="1" applyAlignment="1">
      <alignment horizontal="center" vertical="center"/>
    </xf>
    <xf numFmtId="3" fontId="10" fillId="4" borderId="81" xfId="0" applyNumberFormat="1" applyFont="1" applyFill="1" applyBorder="1"/>
    <xf numFmtId="257" fontId="10" fillId="4" borderId="81" xfId="0" applyNumberFormat="1" applyFont="1" applyFill="1" applyBorder="1"/>
    <xf numFmtId="0" fontId="6" fillId="4" borderId="107" xfId="0" applyFont="1" applyFill="1" applyBorder="1" applyAlignment="1">
      <alignment vertical="center"/>
    </xf>
    <xf numFmtId="0" fontId="6" fillId="4" borderId="104" xfId="0" applyFont="1" applyFill="1" applyBorder="1" applyAlignment="1">
      <alignment vertical="center"/>
    </xf>
    <xf numFmtId="0" fontId="6" fillId="4" borderId="108" xfId="0" applyFont="1" applyFill="1" applyBorder="1" applyAlignment="1">
      <alignment vertical="center"/>
    </xf>
    <xf numFmtId="0" fontId="10" fillId="4" borderId="106" xfId="0" applyFont="1" applyFill="1" applyBorder="1" applyAlignment="1">
      <alignment vertical="center"/>
    </xf>
    <xf numFmtId="0" fontId="6" fillId="4" borderId="84" xfId="0" applyFont="1" applyFill="1" applyBorder="1" applyAlignment="1">
      <alignment horizontal="center" vertical="center" wrapText="1"/>
    </xf>
    <xf numFmtId="0" fontId="6" fillId="4" borderId="85" xfId="0" applyFont="1" applyFill="1" applyBorder="1" applyAlignment="1">
      <alignment horizontal="center" vertical="center"/>
    </xf>
    <xf numFmtId="0" fontId="6" fillId="4" borderId="84" xfId="0" applyFont="1" applyFill="1" applyBorder="1" applyAlignment="1">
      <alignment horizontal="center" vertical="center"/>
    </xf>
    <xf numFmtId="0" fontId="6" fillId="4" borderId="86" xfId="0" applyFont="1" applyFill="1" applyBorder="1" applyAlignment="1">
      <alignment horizontal="left" vertical="center"/>
    </xf>
    <xf numFmtId="0" fontId="6" fillId="4" borderId="90" xfId="0" applyFont="1" applyFill="1" applyBorder="1" applyAlignment="1">
      <alignment horizontal="left" vertical="center"/>
    </xf>
    <xf numFmtId="0" fontId="6" fillId="4" borderId="92" xfId="0" applyFont="1" applyFill="1" applyBorder="1" applyAlignment="1">
      <alignment horizontal="left" vertical="center"/>
    </xf>
    <xf numFmtId="0" fontId="10" fillId="4" borderId="91" xfId="0" applyFont="1" applyFill="1" applyBorder="1" applyAlignment="1">
      <alignment horizontal="left" vertical="center"/>
    </xf>
    <xf numFmtId="3" fontId="10" fillId="4" borderId="91" xfId="0" applyNumberFormat="1" applyFont="1" applyFill="1" applyBorder="1"/>
    <xf numFmtId="3" fontId="6" fillId="4" borderId="96" xfId="0" applyNumberFormat="1" applyFont="1" applyFill="1" applyBorder="1"/>
    <xf numFmtId="9" fontId="6" fillId="4" borderId="86" xfId="28297" applyFont="1" applyFill="1" applyBorder="1" applyAlignment="1">
      <alignment horizontal="right"/>
    </xf>
    <xf numFmtId="9" fontId="6" fillId="4" borderId="90" xfId="28297" applyFont="1" applyFill="1" applyBorder="1" applyAlignment="1">
      <alignment horizontal="right"/>
    </xf>
    <xf numFmtId="9" fontId="6" fillId="4" borderId="92" xfId="28297" applyFont="1" applyFill="1" applyBorder="1" applyAlignment="1">
      <alignment horizontal="right"/>
    </xf>
    <xf numFmtId="9" fontId="10" fillId="4" borderId="91" xfId="28297" applyFont="1" applyFill="1" applyBorder="1" applyAlignment="1">
      <alignment horizontal="right"/>
    </xf>
    <xf numFmtId="3" fontId="6" fillId="4" borderId="86" xfId="0" applyNumberFormat="1" applyFont="1" applyFill="1" applyBorder="1" applyAlignment="1">
      <alignment horizontal="right"/>
    </xf>
    <xf numFmtId="9" fontId="6" fillId="4" borderId="96" xfId="28297" applyFont="1" applyFill="1" applyBorder="1" applyAlignment="1">
      <alignment horizontal="right"/>
    </xf>
    <xf numFmtId="0" fontId="9" fillId="130" borderId="87" xfId="0" applyFont="1" applyFill="1" applyBorder="1" applyAlignment="1">
      <alignment horizontal="center" vertical="center" wrapText="1"/>
    </xf>
    <xf numFmtId="257" fontId="6" fillId="4" borderId="86" xfId="0" applyNumberFormat="1" applyFont="1" applyFill="1" applyBorder="1"/>
    <xf numFmtId="257" fontId="6" fillId="4" borderId="90" xfId="0" applyNumberFormat="1" applyFont="1" applyFill="1" applyBorder="1"/>
    <xf numFmtId="257" fontId="6" fillId="4" borderId="92" xfId="0" applyNumberFormat="1" applyFont="1" applyFill="1" applyBorder="1"/>
    <xf numFmtId="257" fontId="10" fillId="4" borderId="91" xfId="0" applyNumberFormat="1" applyFont="1" applyFill="1" applyBorder="1"/>
    <xf numFmtId="257" fontId="6" fillId="4" borderId="96" xfId="0" applyNumberFormat="1" applyFont="1" applyFill="1" applyBorder="1"/>
    <xf numFmtId="0" fontId="9" fillId="130" borderId="99" xfId="0" applyFont="1" applyFill="1" applyBorder="1" applyAlignment="1">
      <alignment horizontal="center" vertical="center"/>
    </xf>
    <xf numFmtId="0" fontId="9" fillId="130" borderId="109" xfId="0" applyFont="1" applyFill="1" applyBorder="1" applyAlignment="1">
      <alignment horizontal="center" vertical="center" wrapText="1"/>
    </xf>
    <xf numFmtId="14" fontId="6" fillId="4" borderId="104" xfId="0" applyNumberFormat="1" applyFont="1" applyFill="1" applyBorder="1" applyAlignment="1">
      <alignment horizontal="right"/>
    </xf>
    <xf numFmtId="14" fontId="6" fillId="4" borderId="90" xfId="0" applyNumberFormat="1" applyFont="1" applyFill="1" applyBorder="1" applyAlignment="1">
      <alignment horizontal="right"/>
    </xf>
    <xf numFmtId="4" fontId="6" fillId="4" borderId="104" xfId="0" applyNumberFormat="1" applyFont="1" applyFill="1" applyBorder="1" applyAlignment="1">
      <alignment horizontal="right"/>
    </xf>
    <xf numFmtId="14" fontId="6" fillId="4" borderId="105" xfId="0" applyNumberFormat="1" applyFont="1" applyFill="1" applyBorder="1" applyAlignment="1">
      <alignment horizontal="right"/>
    </xf>
    <xf numFmtId="14" fontId="6" fillId="4" borderId="94" xfId="0" applyNumberFormat="1" applyFont="1" applyFill="1" applyBorder="1" applyAlignment="1">
      <alignment horizontal="right"/>
    </xf>
    <xf numFmtId="14" fontId="6" fillId="4" borderId="96" xfId="0" applyNumberFormat="1" applyFont="1" applyFill="1" applyBorder="1" applyAlignment="1">
      <alignment horizontal="right"/>
    </xf>
    <xf numFmtId="4" fontId="6" fillId="4" borderId="105" xfId="0" applyNumberFormat="1" applyFont="1" applyFill="1" applyBorder="1" applyAlignment="1">
      <alignment horizontal="right"/>
    </xf>
    <xf numFmtId="170" fontId="6" fillId="4" borderId="0" xfId="0" applyNumberFormat="1" applyFont="1" applyFill="1" applyAlignment="1">
      <alignment horizontal="left"/>
    </xf>
    <xf numFmtId="170" fontId="349" fillId="4" borderId="0" xfId="0" applyNumberFormat="1" applyFont="1" applyFill="1" applyAlignment="1">
      <alignment horizontal="left"/>
    </xf>
    <xf numFmtId="170" fontId="347" fillId="4" borderId="0" xfId="0" applyNumberFormat="1" applyFont="1" applyFill="1" applyAlignment="1">
      <alignment horizontal="left"/>
    </xf>
    <xf numFmtId="170" fontId="6" fillId="4" borderId="83" xfId="0" applyNumberFormat="1" applyFont="1" applyFill="1" applyBorder="1" applyAlignment="1">
      <alignment horizontal="left" vertical="center"/>
    </xf>
    <xf numFmtId="260" fontId="360" fillId="4" borderId="0" xfId="463" applyNumberFormat="1" applyFont="1" applyFill="1" applyAlignment="1" applyProtection="1">
      <alignment horizontal="left" vertical="center"/>
      <protection locked="0"/>
    </xf>
    <xf numFmtId="0" fontId="349" fillId="4" borderId="0" xfId="0" applyFont="1" applyFill="1" applyAlignment="1">
      <alignment horizontal="left"/>
    </xf>
    <xf numFmtId="0" fontId="6" fillId="4" borderId="81" xfId="0" applyFont="1" applyFill="1" applyBorder="1" applyAlignment="1">
      <alignment horizontal="left" vertical="center"/>
    </xf>
    <xf numFmtId="0" fontId="6" fillId="4" borderId="0" xfId="0" applyFont="1" applyFill="1" applyAlignment="1">
      <alignment horizontal="left"/>
    </xf>
    <xf numFmtId="257" fontId="6" fillId="4" borderId="0" xfId="0" applyNumberFormat="1" applyFont="1" applyFill="1" applyAlignment="1">
      <alignment horizontal="left"/>
    </xf>
    <xf numFmtId="261" fontId="9" fillId="130" borderId="0" xfId="0" applyNumberFormat="1" applyFont="1" applyFill="1" applyBorder="1" applyAlignment="1">
      <alignment horizontal="center"/>
    </xf>
    <xf numFmtId="0" fontId="362" fillId="4" borderId="0" xfId="0" applyFont="1" applyFill="1" applyAlignment="1">
      <alignment horizontal="left"/>
    </xf>
    <xf numFmtId="261" fontId="9" fillId="131" borderId="0" xfId="0" applyNumberFormat="1" applyFont="1" applyFill="1" applyBorder="1" applyAlignment="1">
      <alignment horizontal="left"/>
    </xf>
    <xf numFmtId="0" fontId="6" fillId="4" borderId="0" xfId="0" applyFont="1" applyFill="1" applyBorder="1" applyAlignment="1">
      <alignment horizontal="left" vertical="center" wrapText="1"/>
    </xf>
    <xf numFmtId="0" fontId="6" fillId="4" borderId="0" xfId="0" applyFont="1" applyFill="1" applyBorder="1" applyAlignment="1">
      <alignment horizontal="left" wrapText="1"/>
    </xf>
    <xf numFmtId="0" fontId="10" fillId="4" borderId="81" xfId="0" applyFont="1" applyFill="1" applyBorder="1" applyAlignment="1">
      <alignment horizontal="left" wrapText="1"/>
    </xf>
    <xf numFmtId="0" fontId="6" fillId="4" borderId="80" xfId="0" applyFont="1" applyFill="1" applyBorder="1" applyAlignment="1">
      <alignment horizontal="left" wrapText="1"/>
    </xf>
    <xf numFmtId="0" fontId="6" fillId="4" borderId="84" xfId="0" applyFont="1" applyFill="1" applyBorder="1" applyAlignment="1">
      <alignment horizontal="left" wrapText="1"/>
    </xf>
    <xf numFmtId="0" fontId="345" fillId="4" borderId="83" xfId="0" applyFont="1" applyFill="1" applyBorder="1" applyAlignment="1">
      <alignment horizontal="left" vertical="center" wrapText="1"/>
    </xf>
    <xf numFmtId="0" fontId="10" fillId="4" borderId="80" xfId="0" applyFont="1" applyFill="1" applyBorder="1" applyAlignment="1">
      <alignment horizontal="left"/>
    </xf>
    <xf numFmtId="0" fontId="345" fillId="4" borderId="85" xfId="0" applyFont="1" applyFill="1" applyBorder="1" applyAlignment="1">
      <alignment horizontal="left" wrapText="1"/>
    </xf>
    <xf numFmtId="0" fontId="357" fillId="4" borderId="0" xfId="0" applyFont="1" applyFill="1" applyBorder="1" applyAlignment="1">
      <alignment horizontal="left" wrapText="1"/>
    </xf>
    <xf numFmtId="0" fontId="11" fillId="4" borderId="0" xfId="1" applyFont="1" applyFill="1" applyBorder="1" applyAlignment="1">
      <alignment horizontal="left" wrapText="1"/>
    </xf>
    <xf numFmtId="0" fontId="6" fillId="4" borderId="0" xfId="0" applyFont="1" applyFill="1" applyAlignment="1">
      <alignment horizontal="left" wrapText="1"/>
    </xf>
    <xf numFmtId="170" fontId="6" fillId="4" borderId="0" xfId="0" applyNumberFormat="1" applyFont="1" applyFill="1" applyBorder="1" applyAlignment="1">
      <alignment horizontal="left" vertical="center"/>
    </xf>
    <xf numFmtId="170" fontId="357" fillId="4" borderId="0" xfId="0" applyNumberFormat="1" applyFont="1" applyFill="1" applyBorder="1" applyAlignment="1">
      <alignment horizontal="left"/>
    </xf>
    <xf numFmtId="261" fontId="10" fillId="4" borderId="0" xfId="0" applyNumberFormat="1" applyFont="1" applyFill="1"/>
    <xf numFmtId="261" fontId="10" fillId="4" borderId="0" xfId="0" applyNumberFormat="1" applyFont="1" applyFill="1" applyBorder="1" applyAlignment="1">
      <alignment horizontal="center"/>
    </xf>
    <xf numFmtId="0" fontId="362" fillId="4" borderId="0" xfId="0" applyFont="1" applyFill="1" applyBorder="1" applyAlignment="1">
      <alignment horizontal="left" wrapText="1"/>
    </xf>
    <xf numFmtId="0" fontId="363" fillId="4" borderId="0" xfId="0" applyFont="1" applyFill="1"/>
    <xf numFmtId="170" fontId="363" fillId="4" borderId="0" xfId="0" applyNumberFormat="1" applyFont="1" applyFill="1"/>
    <xf numFmtId="0" fontId="363" fillId="4" borderId="0" xfId="0" applyFont="1" applyFill="1" applyBorder="1"/>
    <xf numFmtId="170" fontId="363" fillId="4" borderId="0" xfId="0" applyNumberFormat="1" applyFont="1" applyFill="1" applyAlignment="1">
      <alignment horizontal="left"/>
    </xf>
    <xf numFmtId="170" fontId="363" fillId="4" borderId="0" xfId="0" applyNumberFormat="1" applyFont="1" applyFill="1" applyBorder="1"/>
    <xf numFmtId="0" fontId="6" fillId="4" borderId="93" xfId="0" applyFont="1" applyFill="1" applyBorder="1" applyAlignment="1">
      <alignment horizontal="center" vertical="center"/>
    </xf>
    <xf numFmtId="0" fontId="9" fillId="130" borderId="0" xfId="0" applyFont="1" applyFill="1" applyAlignment="1">
      <alignment horizontal="center" vertical="center"/>
    </xf>
    <xf numFmtId="262" fontId="6" fillId="4" borderId="84" xfId="28297" applyNumberFormat="1" applyFont="1" applyFill="1" applyBorder="1"/>
    <xf numFmtId="262" fontId="6" fillId="4" borderId="94" xfId="28297" applyNumberFormat="1" applyFont="1" applyFill="1" applyBorder="1"/>
    <xf numFmtId="0" fontId="6" fillId="4" borderId="83" xfId="0" applyFont="1" applyFill="1" applyBorder="1" applyAlignment="1">
      <alignment vertical="center" wrapText="1"/>
    </xf>
    <xf numFmtId="10" fontId="6" fillId="4" borderId="104" xfId="28297" applyNumberFormat="1" applyFont="1" applyFill="1" applyBorder="1" applyAlignment="1">
      <alignment horizontal="right"/>
    </xf>
    <xf numFmtId="10" fontId="6" fillId="4" borderId="105" xfId="28297" applyNumberFormat="1" applyFont="1" applyFill="1" applyBorder="1" applyAlignment="1">
      <alignment horizontal="right"/>
    </xf>
    <xf numFmtId="10" fontId="10" fillId="4" borderId="106" xfId="28297" applyNumberFormat="1" applyFont="1" applyFill="1" applyBorder="1" applyAlignment="1">
      <alignment horizontal="right"/>
    </xf>
    <xf numFmtId="10" fontId="6" fillId="4" borderId="83" xfId="28297" applyNumberFormat="1" applyFont="1" applyFill="1" applyBorder="1" applyAlignment="1">
      <alignment horizontal="right"/>
    </xf>
    <xf numFmtId="10" fontId="6" fillId="4" borderId="94" xfId="28297" applyNumberFormat="1" applyFont="1" applyFill="1" applyBorder="1" applyAlignment="1">
      <alignment horizontal="right"/>
    </xf>
    <xf numFmtId="10" fontId="10" fillId="4" borderId="81" xfId="28297" applyNumberFormat="1" applyFont="1" applyFill="1" applyBorder="1" applyAlignment="1">
      <alignment horizontal="right"/>
    </xf>
    <xf numFmtId="3" fontId="6" fillId="4" borderId="83" xfId="0" applyNumberFormat="1" applyFont="1" applyFill="1" applyBorder="1" applyAlignment="1">
      <alignment horizontal="right" vertical="center" wrapText="1"/>
    </xf>
    <xf numFmtId="10" fontId="6" fillId="4" borderId="104" xfId="28297" applyNumberFormat="1" applyFont="1" applyFill="1" applyBorder="1" applyAlignment="1">
      <alignment horizontal="right" vertical="center" wrapText="1"/>
    </xf>
    <xf numFmtId="10" fontId="6" fillId="4" borderId="83" xfId="28297" applyNumberFormat="1" applyFont="1" applyFill="1" applyBorder="1" applyAlignment="1">
      <alignment horizontal="right" vertical="center" wrapText="1"/>
    </xf>
    <xf numFmtId="0" fontId="6" fillId="4" borderId="0" xfId="0" applyFont="1" applyFill="1" applyAlignment="1">
      <alignment vertical="center" wrapText="1"/>
    </xf>
    <xf numFmtId="0" fontId="11" fillId="4" borderId="0" xfId="1" applyFont="1" applyFill="1" applyAlignment="1">
      <alignment vertical="center" wrapText="1"/>
    </xf>
    <xf numFmtId="0" fontId="9" fillId="130" borderId="0" xfId="0" applyFont="1" applyFill="1" applyAlignment="1">
      <alignment vertical="center"/>
    </xf>
    <xf numFmtId="0" fontId="6" fillId="4" borderId="94" xfId="0" applyFont="1" applyFill="1" applyBorder="1" applyAlignment="1">
      <alignment horizontal="right"/>
    </xf>
    <xf numFmtId="0" fontId="354" fillId="4" borderId="94" xfId="0" applyFont="1" applyFill="1" applyBorder="1" applyAlignment="1">
      <alignment horizontal="right"/>
    </xf>
    <xf numFmtId="0" fontId="10" fillId="4" borderId="0" xfId="0" applyFont="1" applyFill="1" applyBorder="1" applyAlignment="1">
      <alignment horizontal="left" wrapText="1"/>
    </xf>
    <xf numFmtId="170" fontId="6" fillId="4" borderId="0" xfId="0" applyNumberFormat="1" applyFont="1" applyFill="1" applyBorder="1" applyAlignment="1">
      <alignment horizontal="right"/>
    </xf>
    <xf numFmtId="170" fontId="10" fillId="4" borderId="81" xfId="0" applyNumberFormat="1" applyFont="1" applyFill="1" applyBorder="1" applyAlignment="1">
      <alignment horizontal="right"/>
    </xf>
    <xf numFmtId="170" fontId="10" fillId="4" borderId="0" xfId="0" applyNumberFormat="1" applyFont="1" applyFill="1" applyBorder="1" applyAlignment="1">
      <alignment horizontal="right"/>
    </xf>
    <xf numFmtId="259" fontId="345" fillId="4" borderId="83" xfId="0" applyNumberFormat="1" applyFont="1" applyFill="1" applyBorder="1" applyAlignment="1">
      <alignment horizontal="right" vertical="center"/>
    </xf>
    <xf numFmtId="170" fontId="6" fillId="4" borderId="85" xfId="0" applyNumberFormat="1" applyFont="1" applyFill="1" applyBorder="1" applyAlignment="1">
      <alignment horizontal="right"/>
    </xf>
    <xf numFmtId="170" fontId="357" fillId="4" borderId="0" xfId="0" applyNumberFormat="1" applyFont="1" applyFill="1" applyBorder="1" applyAlignment="1">
      <alignment horizontal="right" wrapText="1"/>
    </xf>
    <xf numFmtId="170" fontId="345" fillId="4" borderId="0" xfId="0" applyNumberFormat="1" applyFont="1" applyFill="1" applyBorder="1" applyAlignment="1">
      <alignment horizontal="right"/>
    </xf>
    <xf numFmtId="0" fontId="345" fillId="4" borderId="0" xfId="0" applyFont="1" applyFill="1" applyBorder="1"/>
    <xf numFmtId="170" fontId="6" fillId="4" borderId="83" xfId="0" applyNumberFormat="1" applyFont="1" applyFill="1" applyBorder="1" applyAlignment="1">
      <alignment horizontal="right" vertical="center"/>
    </xf>
    <xf numFmtId="170" fontId="6" fillId="4" borderId="0" xfId="0" applyNumberFormat="1" applyFont="1" applyFill="1" applyBorder="1" applyAlignment="1">
      <alignment horizontal="right" vertical="center"/>
    </xf>
    <xf numFmtId="170" fontId="10" fillId="4" borderId="81" xfId="0" applyNumberFormat="1" applyFont="1" applyFill="1" applyBorder="1" applyAlignment="1">
      <alignment horizontal="right" vertical="center"/>
    </xf>
    <xf numFmtId="170" fontId="10" fillId="4" borderId="0" xfId="0" applyNumberFormat="1" applyFont="1" applyFill="1" applyBorder="1" applyAlignment="1">
      <alignment horizontal="right" vertical="center"/>
    </xf>
    <xf numFmtId="170" fontId="6" fillId="4" borderId="80" xfId="0" applyNumberFormat="1" applyFont="1" applyFill="1" applyBorder="1" applyAlignment="1">
      <alignment horizontal="right" vertical="center"/>
    </xf>
    <xf numFmtId="170" fontId="6" fillId="4" borderId="84" xfId="0" applyNumberFormat="1" applyFont="1" applyFill="1" applyBorder="1" applyAlignment="1">
      <alignment horizontal="right" vertical="center"/>
    </xf>
    <xf numFmtId="259" fontId="6" fillId="4" borderId="0" xfId="0" applyNumberFormat="1" applyFont="1" applyFill="1" applyAlignment="1">
      <alignment horizontal="right" vertical="center"/>
    </xf>
    <xf numFmtId="170" fontId="6" fillId="4" borderId="0" xfId="0" applyNumberFormat="1" applyFont="1" applyFill="1" applyAlignment="1">
      <alignment horizontal="right" vertical="center"/>
    </xf>
    <xf numFmtId="170" fontId="10" fillId="4" borderId="80" xfId="0" applyNumberFormat="1" applyFont="1" applyFill="1" applyBorder="1" applyAlignment="1">
      <alignment horizontal="right" vertical="center"/>
    </xf>
    <xf numFmtId="170" fontId="6" fillId="0" borderId="83" xfId="0" applyNumberFormat="1" applyFont="1" applyFill="1" applyBorder="1" applyAlignment="1">
      <alignment horizontal="right" vertical="center"/>
    </xf>
    <xf numFmtId="170" fontId="345" fillId="4" borderId="85" xfId="0" applyNumberFormat="1" applyFont="1" applyFill="1" applyBorder="1" applyAlignment="1">
      <alignment horizontal="right" vertical="center"/>
    </xf>
    <xf numFmtId="170" fontId="357" fillId="4" borderId="0" xfId="0" applyNumberFormat="1" applyFont="1" applyFill="1" applyBorder="1" applyAlignment="1">
      <alignment horizontal="right" vertical="center"/>
    </xf>
    <xf numFmtId="170" fontId="6" fillId="4" borderId="85" xfId="0" applyNumberFormat="1" applyFont="1" applyFill="1" applyBorder="1" applyAlignment="1">
      <alignment horizontal="right" vertical="center"/>
    </xf>
    <xf numFmtId="170" fontId="357" fillId="4" borderId="0" xfId="0" applyNumberFormat="1" applyFont="1" applyFill="1" applyBorder="1" applyAlignment="1">
      <alignment horizontal="right" vertical="center" wrapText="1"/>
    </xf>
    <xf numFmtId="170" fontId="345" fillId="4" borderId="0" xfId="0" applyNumberFormat="1" applyFont="1" applyFill="1" applyBorder="1" applyAlignment="1">
      <alignment horizontal="right" vertical="center"/>
    </xf>
    <xf numFmtId="170" fontId="361" fillId="4" borderId="83" xfId="0" applyNumberFormat="1" applyFont="1" applyFill="1" applyBorder="1" applyAlignment="1">
      <alignment horizontal="right" vertical="center"/>
    </xf>
    <xf numFmtId="170" fontId="6" fillId="0" borderId="0" xfId="0" applyNumberFormat="1" applyFont="1" applyFill="1" applyBorder="1" applyAlignment="1">
      <alignment horizontal="right" vertical="center"/>
    </xf>
    <xf numFmtId="170" fontId="6" fillId="4" borderId="0" xfId="0" applyNumberFormat="1" applyFont="1" applyFill="1" applyBorder="1" applyAlignment="1">
      <alignment horizontal="right" vertical="center" wrapText="1"/>
    </xf>
    <xf numFmtId="170" fontId="7" fillId="4" borderId="83" xfId="0" applyNumberFormat="1" applyFont="1" applyFill="1" applyBorder="1" applyAlignment="1">
      <alignment horizontal="right" vertical="center"/>
    </xf>
    <xf numFmtId="170" fontId="10" fillId="4" borderId="94" xfId="0" applyNumberFormat="1" applyFont="1" applyFill="1" applyBorder="1" applyAlignment="1">
      <alignment horizontal="right"/>
    </xf>
    <xf numFmtId="170" fontId="6" fillId="4" borderId="81" xfId="0" applyNumberFormat="1" applyFont="1" applyFill="1" applyBorder="1" applyAlignment="1">
      <alignment horizontal="right"/>
    </xf>
    <xf numFmtId="170" fontId="359" fillId="4" borderId="0" xfId="0" applyNumberFormat="1" applyFont="1" applyFill="1" applyAlignment="1">
      <alignment horizontal="right"/>
    </xf>
    <xf numFmtId="170" fontId="10" fillId="4" borderId="83" xfId="0" applyNumberFormat="1" applyFont="1" applyFill="1" applyBorder="1" applyAlignment="1">
      <alignment horizontal="right"/>
    </xf>
    <xf numFmtId="170" fontId="10" fillId="4" borderId="93" xfId="0" applyNumberFormat="1" applyFont="1" applyFill="1" applyBorder="1" applyAlignment="1">
      <alignment horizontal="right"/>
    </xf>
    <xf numFmtId="0" fontId="365" fillId="4" borderId="0" xfId="0" applyFont="1" applyFill="1"/>
    <xf numFmtId="0" fontId="366" fillId="4" borderId="0" xfId="0" applyFont="1" applyFill="1"/>
    <xf numFmtId="0" fontId="363" fillId="4" borderId="6" xfId="0" applyFont="1" applyFill="1" applyBorder="1" applyAlignment="1"/>
    <xf numFmtId="0" fontId="363" fillId="4" borderId="0" xfId="0" applyFont="1" applyFill="1" applyAlignment="1">
      <alignment wrapText="1"/>
    </xf>
    <xf numFmtId="0" fontId="363" fillId="4" borderId="0" xfId="0" applyFont="1" applyFill="1" applyAlignment="1">
      <alignment horizontal="left" vertical="center" wrapText="1"/>
    </xf>
    <xf numFmtId="0" fontId="368" fillId="4" borderId="0" xfId="0" applyFont="1" applyFill="1"/>
    <xf numFmtId="0" fontId="369" fillId="4" borderId="0" xfId="0" applyFont="1" applyFill="1"/>
    <xf numFmtId="14" fontId="369" fillId="4" borderId="0" xfId="0" applyNumberFormat="1" applyFont="1" applyFill="1" applyAlignment="1"/>
    <xf numFmtId="14" fontId="369" fillId="4" borderId="0" xfId="0" applyNumberFormat="1" applyFont="1" applyFill="1" applyAlignment="1">
      <alignment horizontal="center"/>
    </xf>
    <xf numFmtId="170" fontId="6" fillId="4" borderId="0" xfId="0" applyNumberFormat="1" applyFont="1" applyFill="1" applyBorder="1" applyAlignment="1">
      <alignment horizontal="center" vertical="center" wrapText="1"/>
    </xf>
    <xf numFmtId="170" fontId="371" fillId="4" borderId="83" xfId="0" applyNumberFormat="1" applyFont="1" applyFill="1" applyBorder="1" applyAlignment="1">
      <alignment horizontal="right" vertical="center"/>
    </xf>
    <xf numFmtId="0" fontId="369" fillId="4" borderId="0" xfId="0" applyFont="1" applyFill="1" applyAlignment="1">
      <alignment horizontal="left" wrapText="1"/>
    </xf>
    <xf numFmtId="170" fontId="6" fillId="4" borderId="94" xfId="0" applyNumberFormat="1" applyFont="1" applyFill="1" applyBorder="1" applyAlignment="1">
      <alignment horizontal="right"/>
    </xf>
    <xf numFmtId="170" fontId="10" fillId="4" borderId="84" xfId="0" applyNumberFormat="1" applyFont="1" applyFill="1" applyBorder="1" applyAlignment="1">
      <alignment horizontal="right"/>
    </xf>
    <xf numFmtId="170" fontId="6" fillId="4" borderId="83" xfId="0" applyNumberFormat="1" applyFont="1" applyFill="1" applyBorder="1" applyAlignment="1">
      <alignment horizontal="center" vertical="center" wrapText="1"/>
    </xf>
    <xf numFmtId="170" fontId="361" fillId="4" borderId="94" xfId="0" applyNumberFormat="1" applyFont="1" applyFill="1" applyBorder="1" applyAlignment="1">
      <alignment horizontal="right" vertical="center"/>
    </xf>
    <xf numFmtId="170" fontId="6" fillId="4" borderId="0" xfId="0" applyNumberFormat="1" applyFont="1" applyFill="1" applyAlignment="1">
      <alignment horizontal="center" vertical="center"/>
    </xf>
    <xf numFmtId="170" fontId="6" fillId="4" borderId="94" xfId="0" applyNumberFormat="1" applyFont="1" applyFill="1" applyBorder="1" applyAlignment="1">
      <alignment horizontal="right" vertical="center"/>
    </xf>
    <xf numFmtId="258" fontId="6" fillId="4" borderId="83" xfId="0" applyNumberFormat="1" applyFont="1" applyFill="1" applyBorder="1" applyAlignment="1">
      <alignment horizontal="right" vertical="center"/>
    </xf>
    <xf numFmtId="258" fontId="6" fillId="4" borderId="0" xfId="0" applyNumberFormat="1" applyFont="1" applyFill="1" applyAlignment="1">
      <alignment horizontal="right"/>
    </xf>
    <xf numFmtId="258" fontId="7" fillId="4" borderId="83" xfId="0" applyNumberFormat="1" applyFont="1" applyFill="1" applyBorder="1" applyAlignment="1">
      <alignment horizontal="right" vertical="center"/>
    </xf>
    <xf numFmtId="258" fontId="345" fillId="4" borderId="83" xfId="0" applyNumberFormat="1" applyFont="1" applyFill="1" applyBorder="1" applyAlignment="1">
      <alignment horizontal="right" vertical="center"/>
    </xf>
    <xf numFmtId="170" fontId="345" fillId="4" borderId="83" xfId="0" applyNumberFormat="1" applyFont="1" applyFill="1" applyBorder="1" applyAlignment="1">
      <alignment horizontal="right" vertical="center"/>
    </xf>
    <xf numFmtId="170" fontId="6" fillId="4" borderId="81" xfId="0" applyNumberFormat="1" applyFont="1" applyFill="1" applyBorder="1" applyAlignment="1">
      <alignment horizontal="right" vertical="center"/>
    </xf>
    <xf numFmtId="170" fontId="7" fillId="4" borderId="0" xfId="0" applyNumberFormat="1" applyFont="1" applyFill="1" applyAlignment="1">
      <alignment horizontal="center" vertical="center"/>
    </xf>
    <xf numFmtId="170" fontId="7" fillId="4" borderId="0" xfId="0" applyNumberFormat="1" applyFont="1" applyFill="1" applyAlignment="1">
      <alignment horizontal="left" vertical="center"/>
    </xf>
    <xf numFmtId="0" fontId="6" fillId="4" borderId="83" xfId="0" applyFont="1" applyFill="1" applyBorder="1" applyAlignment="1">
      <alignment horizontal="right" vertical="center"/>
    </xf>
    <xf numFmtId="170" fontId="6" fillId="0" borderId="0" xfId="0" applyNumberFormat="1" applyFont="1" applyAlignment="1">
      <alignment horizontal="right"/>
    </xf>
    <xf numFmtId="0" fontId="9" fillId="4" borderId="0" xfId="0" applyFont="1" applyFill="1" applyAlignment="1">
      <alignment horizontal="right"/>
    </xf>
    <xf numFmtId="170" fontId="10" fillId="4" borderId="83" xfId="0" applyNumberFormat="1" applyFont="1" applyFill="1" applyBorder="1" applyAlignment="1">
      <alignment horizontal="right" vertical="center"/>
    </xf>
    <xf numFmtId="0" fontId="6" fillId="4" borderId="81" xfId="0" applyFont="1" applyFill="1" applyBorder="1" applyAlignment="1">
      <alignment horizontal="right" vertical="center"/>
    </xf>
    <xf numFmtId="9" fontId="6" fillId="4" borderId="83" xfId="28297" applyFont="1" applyFill="1" applyBorder="1" applyAlignment="1">
      <alignment horizontal="right" vertical="center"/>
    </xf>
    <xf numFmtId="9" fontId="6" fillId="4" borderId="0" xfId="28297" applyFont="1" applyFill="1" applyBorder="1" applyAlignment="1">
      <alignment horizontal="right" vertical="center"/>
    </xf>
    <xf numFmtId="0" fontId="6" fillId="4" borderId="0" xfId="0" applyFont="1" applyFill="1" applyBorder="1" applyAlignment="1">
      <alignment horizontal="right" vertical="center"/>
    </xf>
    <xf numFmtId="170" fontId="361" fillId="4" borderId="81" xfId="0" applyNumberFormat="1" applyFont="1" applyFill="1" applyBorder="1" applyAlignment="1">
      <alignment horizontal="right"/>
    </xf>
    <xf numFmtId="170" fontId="361" fillId="4" borderId="84" xfId="0" applyNumberFormat="1" applyFont="1" applyFill="1" applyBorder="1" applyAlignment="1">
      <alignment horizontal="right"/>
    </xf>
    <xf numFmtId="258" fontId="361" fillId="4" borderId="83" xfId="0" applyNumberFormat="1" applyFont="1" applyFill="1" applyBorder="1" applyAlignment="1">
      <alignment horizontal="right"/>
    </xf>
    <xf numFmtId="3" fontId="6" fillId="0" borderId="83" xfId="0" applyNumberFormat="1" applyFont="1" applyFill="1" applyBorder="1"/>
    <xf numFmtId="3" fontId="10" fillId="4" borderId="0" xfId="0" applyNumberFormat="1" applyFont="1" applyFill="1" applyBorder="1"/>
    <xf numFmtId="170" fontId="373" fillId="4" borderId="81" xfId="0" applyNumberFormat="1" applyFont="1" applyFill="1" applyBorder="1" applyAlignment="1">
      <alignment horizontal="right" vertical="center"/>
    </xf>
    <xf numFmtId="176" fontId="10" fillId="4" borderId="81" xfId="28297" applyNumberFormat="1" applyFont="1" applyFill="1" applyBorder="1" applyAlignment="1">
      <alignment horizontal="right" vertical="center"/>
    </xf>
    <xf numFmtId="259" fontId="6" fillId="4" borderId="0" xfId="0" applyNumberFormat="1" applyFont="1" applyFill="1" applyAlignment="1">
      <alignment horizontal="left"/>
    </xf>
    <xf numFmtId="0" fontId="369" fillId="4" borderId="0" xfId="0" applyFont="1" applyFill="1" applyAlignment="1">
      <alignment horizontal="left"/>
    </xf>
    <xf numFmtId="170" fontId="6" fillId="4" borderId="81" xfId="0" applyNumberFormat="1" applyFont="1" applyFill="1" applyBorder="1" applyAlignment="1">
      <alignment horizontal="center"/>
    </xf>
    <xf numFmtId="170" fontId="364" fillId="4" borderId="83" xfId="0" applyNumberFormat="1" applyFont="1" applyFill="1" applyBorder="1" applyAlignment="1">
      <alignment horizontal="right" vertical="center"/>
    </xf>
    <xf numFmtId="170" fontId="371" fillId="4" borderId="84" xfId="0" applyNumberFormat="1" applyFont="1" applyFill="1" applyBorder="1" applyAlignment="1">
      <alignment horizontal="right"/>
    </xf>
    <xf numFmtId="170" fontId="6" fillId="4" borderId="0" xfId="0" applyNumberFormat="1" applyFont="1" applyFill="1" applyAlignment="1">
      <alignment horizontal="left" vertical="center"/>
    </xf>
    <xf numFmtId="170" fontId="7" fillId="4" borderId="83" xfId="0" applyNumberFormat="1" applyFont="1" applyFill="1" applyBorder="1" applyAlignment="1">
      <alignment horizontal="right"/>
    </xf>
    <xf numFmtId="170" fontId="372" fillId="4" borderId="83" xfId="0" applyNumberFormat="1" applyFont="1" applyFill="1" applyBorder="1" applyAlignment="1">
      <alignment horizontal="right" vertical="center"/>
    </xf>
    <xf numFmtId="0" fontId="6" fillId="4" borderId="81" xfId="0" applyFont="1" applyFill="1" applyBorder="1" applyAlignment="1">
      <alignment horizontal="center" vertical="center"/>
    </xf>
    <xf numFmtId="0" fontId="351" fillId="4" borderId="0" xfId="0" applyFont="1" applyFill="1" applyAlignment="1">
      <alignment horizontal="center"/>
    </xf>
    <xf numFmtId="0" fontId="6" fillId="4" borderId="90" xfId="0" applyFont="1" applyFill="1" applyBorder="1" applyAlignment="1">
      <alignment horizontal="left" vertical="center" wrapText="1"/>
    </xf>
    <xf numFmtId="3" fontId="6" fillId="4" borderId="110" xfId="0" applyNumberFormat="1" applyFont="1" applyFill="1" applyBorder="1"/>
    <xf numFmtId="170" fontId="10" fillId="4" borderId="0" xfId="0" applyNumberFormat="1" applyFont="1" applyFill="1" applyBorder="1"/>
    <xf numFmtId="170" fontId="0" fillId="4" borderId="0" xfId="0" applyNumberFormat="1" applyFill="1" applyBorder="1"/>
    <xf numFmtId="170" fontId="9" fillId="4" borderId="0" xfId="0" applyNumberFormat="1" applyFont="1" applyFill="1" applyBorder="1" applyAlignment="1">
      <alignment horizontal="center"/>
    </xf>
    <xf numFmtId="170" fontId="6" fillId="4" borderId="0" xfId="0" applyNumberFormat="1" applyFont="1" applyFill="1" applyBorder="1" applyAlignment="1">
      <alignment horizontal="left"/>
    </xf>
    <xf numFmtId="170" fontId="349" fillId="4" borderId="0" xfId="0" applyNumberFormat="1" applyFont="1" applyFill="1" applyBorder="1" applyAlignment="1">
      <alignment horizontal="left"/>
    </xf>
    <xf numFmtId="170" fontId="347" fillId="4" borderId="0" xfId="0" applyNumberFormat="1" applyFont="1" applyFill="1" applyBorder="1" applyAlignment="1">
      <alignment horizontal="left"/>
    </xf>
    <xf numFmtId="258" fontId="6" fillId="4" borderId="0" xfId="0" applyNumberFormat="1" applyFont="1" applyFill="1" applyBorder="1" applyAlignment="1">
      <alignment horizontal="right" vertical="center"/>
    </xf>
    <xf numFmtId="170" fontId="361" fillId="4" borderId="0" xfId="0" applyNumberFormat="1" applyFont="1" applyFill="1" applyBorder="1" applyAlignment="1">
      <alignment horizontal="right"/>
    </xf>
    <xf numFmtId="176" fontId="10" fillId="4" borderId="0" xfId="28297" applyNumberFormat="1" applyFont="1" applyFill="1" applyBorder="1" applyAlignment="1">
      <alignment horizontal="right" vertical="center"/>
    </xf>
    <xf numFmtId="259" fontId="6" fillId="4" borderId="0" xfId="0" applyNumberFormat="1" applyFont="1" applyFill="1" applyBorder="1" applyAlignment="1">
      <alignment horizontal="left"/>
    </xf>
    <xf numFmtId="170" fontId="9" fillId="4" borderId="0" xfId="0" applyNumberFormat="1" applyFont="1" applyFill="1" applyBorder="1" applyAlignment="1">
      <alignment horizontal="left"/>
    </xf>
    <xf numFmtId="170" fontId="6" fillId="4" borderId="83" xfId="0" applyNumberFormat="1" applyFont="1" applyFill="1" applyBorder="1" applyAlignment="1">
      <alignment vertical="center"/>
    </xf>
    <xf numFmtId="170" fontId="6" fillId="4" borderId="0" xfId="0" applyNumberFormat="1" applyFont="1" applyFill="1" applyAlignment="1"/>
    <xf numFmtId="0" fontId="349" fillId="4" borderId="0" xfId="0" applyFont="1" applyFill="1" applyBorder="1" applyAlignment="1">
      <alignment horizontal="left"/>
    </xf>
    <xf numFmtId="0" fontId="6" fillId="4" borderId="0" xfId="0" applyFont="1" applyFill="1" applyBorder="1" applyAlignment="1">
      <alignment horizontal="left" vertical="center"/>
    </xf>
    <xf numFmtId="0" fontId="9" fillId="4" borderId="0" xfId="0" applyFont="1" applyFill="1" applyBorder="1" applyAlignment="1">
      <alignment horizontal="right"/>
    </xf>
    <xf numFmtId="0" fontId="6" fillId="4" borderId="0" xfId="0" applyFont="1" applyFill="1" applyBorder="1" applyAlignment="1">
      <alignment horizontal="right"/>
    </xf>
    <xf numFmtId="257" fontId="6" fillId="4" borderId="0" xfId="0" applyNumberFormat="1" applyFont="1" applyFill="1" applyBorder="1" applyAlignment="1">
      <alignment horizontal="left"/>
    </xf>
    <xf numFmtId="170" fontId="6" fillId="0" borderId="0" xfId="0" applyNumberFormat="1" applyFont="1" applyFill="1" applyAlignment="1">
      <alignment horizontal="right"/>
    </xf>
    <xf numFmtId="0" fontId="6" fillId="0" borderId="83" xfId="0" applyFont="1" applyFill="1" applyBorder="1" applyAlignment="1">
      <alignment horizontal="right" vertical="center"/>
    </xf>
    <xf numFmtId="9" fontId="6" fillId="0" borderId="0" xfId="28297" applyFont="1" applyFill="1" applyBorder="1" applyAlignment="1">
      <alignment horizontal="right" vertical="center"/>
    </xf>
    <xf numFmtId="226" fontId="6" fillId="4" borderId="89" xfId="0" applyNumberFormat="1" applyFont="1" applyFill="1" applyBorder="1" applyAlignment="1">
      <alignment horizontal="center"/>
    </xf>
    <xf numFmtId="2" fontId="6" fillId="4" borderId="90" xfId="0" applyNumberFormat="1" applyFont="1" applyFill="1" applyBorder="1" applyAlignment="1">
      <alignment horizontal="center"/>
    </xf>
    <xf numFmtId="261" fontId="9" fillId="4" borderId="0" xfId="0" applyNumberFormat="1" applyFont="1" applyFill="1" applyBorder="1" applyAlignment="1">
      <alignment horizontal="center"/>
    </xf>
    <xf numFmtId="170" fontId="349" fillId="4" borderId="0" xfId="0" applyNumberFormat="1" applyFont="1" applyFill="1" applyBorder="1" applyAlignment="1"/>
    <xf numFmtId="259" fontId="345" fillId="4" borderId="0" xfId="0" applyNumberFormat="1" applyFont="1" applyFill="1" applyBorder="1" applyAlignment="1">
      <alignment horizontal="right" vertical="center"/>
    </xf>
    <xf numFmtId="170" fontId="361" fillId="4" borderId="0" xfId="0" applyNumberFormat="1" applyFont="1" applyFill="1" applyBorder="1" applyAlignment="1">
      <alignment horizontal="right" vertical="center"/>
    </xf>
    <xf numFmtId="170" fontId="359" fillId="4" borderId="0" xfId="0" applyNumberFormat="1" applyFont="1" applyFill="1" applyBorder="1" applyAlignment="1">
      <alignment horizontal="right"/>
    </xf>
    <xf numFmtId="9" fontId="374" fillId="4" borderId="0" xfId="28297" applyFont="1" applyFill="1"/>
    <xf numFmtId="0" fontId="371" fillId="4" borderId="90" xfId="0" applyFont="1" applyFill="1" applyBorder="1" applyAlignment="1">
      <alignment horizontal="center"/>
    </xf>
    <xf numFmtId="10" fontId="371" fillId="4" borderId="90" xfId="0" applyNumberFormat="1" applyFont="1" applyFill="1" applyBorder="1" applyAlignment="1">
      <alignment horizontal="center"/>
    </xf>
    <xf numFmtId="176" fontId="6" fillId="4" borderId="90" xfId="0" applyNumberFormat="1" applyFont="1" applyFill="1" applyBorder="1" applyAlignment="1">
      <alignment horizontal="center"/>
    </xf>
    <xf numFmtId="226" fontId="6" fillId="4" borderId="90" xfId="0" applyNumberFormat="1" applyFont="1" applyFill="1" applyBorder="1" applyAlignment="1">
      <alignment horizontal="center"/>
    </xf>
    <xf numFmtId="261" fontId="9" fillId="131" borderId="0" xfId="0" applyNumberFormat="1" applyFont="1" applyFill="1" applyAlignment="1">
      <alignment horizontal="center"/>
    </xf>
    <xf numFmtId="3" fontId="10" fillId="4" borderId="0" xfId="0" applyNumberFormat="1" applyFont="1" applyFill="1"/>
    <xf numFmtId="0" fontId="9" fillId="4" borderId="0" xfId="0" applyFont="1" applyFill="1" applyAlignment="1">
      <alignment horizontal="center"/>
    </xf>
    <xf numFmtId="0" fontId="369" fillId="4" borderId="0" xfId="0" applyFont="1" applyFill="1" applyAlignment="1">
      <alignment vertical="top" wrapText="1"/>
    </xf>
    <xf numFmtId="170" fontId="375" fillId="0" borderId="0" xfId="0" applyNumberFormat="1" applyFont="1" applyAlignment="1">
      <alignment horizontal="right" vertical="center"/>
    </xf>
    <xf numFmtId="170" fontId="361" fillId="4" borderId="94" xfId="0" applyNumberFormat="1" applyFont="1" applyFill="1" applyBorder="1" applyAlignment="1">
      <alignment horizontal="right"/>
    </xf>
    <xf numFmtId="170" fontId="361" fillId="4" borderId="85" xfId="0" applyNumberFormat="1" applyFont="1" applyFill="1" applyBorder="1" applyAlignment="1">
      <alignment horizontal="right"/>
    </xf>
    <xf numFmtId="259" fontId="345" fillId="0" borderId="83" xfId="0" applyNumberFormat="1" applyFont="1" applyFill="1" applyBorder="1" applyAlignment="1">
      <alignment horizontal="right" vertical="center"/>
    </xf>
    <xf numFmtId="170" fontId="345" fillId="4" borderId="0" xfId="0" applyNumberFormat="1" applyFont="1" applyFill="1" applyBorder="1"/>
    <xf numFmtId="9" fontId="6" fillId="4" borderId="0" xfId="28297" applyFont="1" applyFill="1" applyAlignment="1">
      <alignment wrapText="1"/>
    </xf>
    <xf numFmtId="0" fontId="369" fillId="4" borderId="0" xfId="0" applyFont="1" applyFill="1" applyAlignment="1">
      <alignment vertical="top"/>
    </xf>
    <xf numFmtId="0" fontId="363" fillId="4" borderId="0" xfId="0" applyFont="1" applyFill="1" applyAlignment="1"/>
    <xf numFmtId="0" fontId="363" fillId="4" borderId="0" xfId="0" applyFont="1" applyFill="1" applyBorder="1" applyAlignment="1"/>
    <xf numFmtId="0" fontId="367" fillId="4" borderId="0" xfId="1" applyFont="1" applyFill="1" applyBorder="1" applyAlignment="1">
      <alignment horizontal="left"/>
    </xf>
    <xf numFmtId="0" fontId="367" fillId="0" borderId="0" xfId="1" applyFont="1" applyAlignment="1"/>
    <xf numFmtId="0" fontId="368" fillId="4" borderId="0" xfId="0" applyFont="1" applyFill="1" applyAlignment="1">
      <alignment horizontal="left"/>
    </xf>
    <xf numFmtId="0" fontId="363" fillId="4" borderId="0" xfId="0" applyFont="1" applyFill="1" applyAlignment="1">
      <alignment horizontal="left"/>
    </xf>
    <xf numFmtId="0" fontId="369" fillId="4" borderId="0" xfId="0" applyFont="1" applyFill="1" applyBorder="1" applyAlignment="1">
      <alignment horizontal="left" vertical="center" wrapText="1"/>
    </xf>
    <xf numFmtId="0" fontId="367" fillId="4" borderId="6" xfId="1" applyFont="1" applyFill="1" applyBorder="1" applyAlignment="1">
      <alignment horizontal="left"/>
    </xf>
    <xf numFmtId="0" fontId="367" fillId="4" borderId="78" xfId="1" applyFont="1" applyFill="1" applyBorder="1" applyAlignment="1">
      <alignment horizontal="left"/>
    </xf>
    <xf numFmtId="0" fontId="367" fillId="4" borderId="79" xfId="1" applyFont="1" applyFill="1" applyBorder="1" applyAlignment="1">
      <alignment horizontal="left"/>
    </xf>
    <xf numFmtId="14" fontId="369" fillId="4" borderId="0" xfId="0" applyNumberFormat="1" applyFont="1" applyFill="1" applyAlignment="1">
      <alignment horizontal="left" wrapText="1"/>
    </xf>
    <xf numFmtId="0" fontId="9" fillId="134" borderId="0" xfId="0" applyFont="1" applyFill="1" applyBorder="1" applyAlignment="1">
      <alignment horizontal="center" vertical="center" textRotation="90"/>
    </xf>
    <xf numFmtId="0" fontId="369" fillId="4" borderId="0" xfId="0" applyFont="1" applyFill="1" applyAlignment="1">
      <alignment horizontal="left" vertical="top" wrapText="1"/>
    </xf>
    <xf numFmtId="0" fontId="9" fillId="136" borderId="0" xfId="0" applyFont="1" applyFill="1" applyBorder="1" applyAlignment="1">
      <alignment horizontal="center" vertical="center" textRotation="90"/>
    </xf>
    <xf numFmtId="0" fontId="9" fillId="134" borderId="0" xfId="0" applyFont="1" applyFill="1" applyBorder="1" applyAlignment="1">
      <alignment horizontal="center" vertical="center" textRotation="90" wrapText="1"/>
    </xf>
    <xf numFmtId="0" fontId="9" fillId="137" borderId="0" xfId="0" applyFont="1" applyFill="1" applyBorder="1" applyAlignment="1">
      <alignment horizontal="center" vertical="center" textRotation="90"/>
    </xf>
    <xf numFmtId="0" fontId="9" fillId="133" borderId="0" xfId="0" applyFont="1" applyFill="1" applyBorder="1" applyAlignment="1">
      <alignment horizontal="center" vertical="center" textRotation="90"/>
    </xf>
    <xf numFmtId="0" fontId="9" fillId="135" borderId="0" xfId="0" applyFont="1" applyFill="1" applyBorder="1" applyAlignment="1">
      <alignment horizontal="center" vertical="center" textRotation="90"/>
    </xf>
    <xf numFmtId="0" fontId="9" fillId="133" borderId="0" xfId="0" applyFont="1" applyFill="1" applyAlignment="1">
      <alignment horizontal="center" vertical="center" textRotation="90" wrapText="1"/>
    </xf>
    <xf numFmtId="0" fontId="9" fillId="136" borderId="0" xfId="0" applyFont="1" applyFill="1" applyAlignment="1">
      <alignment horizontal="center" vertical="center" textRotation="90"/>
    </xf>
    <xf numFmtId="0" fontId="9" fillId="134" borderId="0" xfId="0" applyFont="1" applyFill="1" applyAlignment="1">
      <alignment horizontal="center" vertical="center" textRotation="90"/>
    </xf>
    <xf numFmtId="0" fontId="9" fillId="135" borderId="0" xfId="0" applyFont="1" applyFill="1" applyAlignment="1">
      <alignment horizontal="center" vertical="center" textRotation="90"/>
    </xf>
    <xf numFmtId="0" fontId="9" fillId="131" borderId="0" xfId="0" applyFont="1" applyFill="1" applyAlignment="1">
      <alignment horizontal="center" vertical="center" textRotation="90" wrapText="1"/>
    </xf>
    <xf numFmtId="0" fontId="9" fillId="131" borderId="0" xfId="0" applyFont="1" applyFill="1" applyBorder="1" applyAlignment="1">
      <alignment horizontal="center" vertical="center" textRotation="90" wrapText="1"/>
    </xf>
    <xf numFmtId="0" fontId="9" fillId="130" borderId="0" xfId="0" applyFont="1" applyFill="1" applyAlignment="1">
      <alignment horizontal="center" vertical="center"/>
    </xf>
    <xf numFmtId="0" fontId="9" fillId="130" borderId="84" xfId="0" applyFont="1" applyFill="1" applyBorder="1" applyAlignment="1">
      <alignment horizontal="center" vertical="center"/>
    </xf>
    <xf numFmtId="0" fontId="9" fillId="130" borderId="0" xfId="0" applyFont="1" applyFill="1" applyAlignment="1">
      <alignment horizontal="center" vertical="center" wrapText="1"/>
    </xf>
    <xf numFmtId="0" fontId="9" fillId="130" borderId="84" xfId="0" applyFont="1" applyFill="1" applyBorder="1" applyAlignment="1">
      <alignment horizontal="center" vertical="center" wrapText="1"/>
    </xf>
    <xf numFmtId="0" fontId="9" fillId="4" borderId="0" xfId="0" applyFont="1" applyFill="1" applyAlignment="1">
      <alignment horizontal="center" vertical="center"/>
    </xf>
    <xf numFmtId="0" fontId="6" fillId="4" borderId="93" xfId="0" applyFont="1" applyFill="1" applyBorder="1" applyAlignment="1">
      <alignment horizontal="center" vertical="center"/>
    </xf>
    <xf numFmtId="0" fontId="9" fillId="4" borderId="0" xfId="0" applyFont="1" applyFill="1" applyAlignment="1">
      <alignment horizontal="center"/>
    </xf>
    <xf numFmtId="0" fontId="9" fillId="130" borderId="0" xfId="0" applyFont="1" applyFill="1" applyBorder="1" applyAlignment="1">
      <alignment horizontal="center" vertical="center" wrapText="1"/>
    </xf>
    <xf numFmtId="0" fontId="9" fillId="130" borderId="87" xfId="0" applyFont="1" applyFill="1" applyBorder="1" applyAlignment="1">
      <alignment horizontal="center" vertical="center" wrapText="1"/>
    </xf>
    <xf numFmtId="0" fontId="9" fillId="137" borderId="0" xfId="0" applyFont="1" applyFill="1" applyBorder="1" applyAlignment="1">
      <alignment horizontal="center" vertical="center" textRotation="90" wrapText="1"/>
    </xf>
    <xf numFmtId="0" fontId="9" fillId="130" borderId="97" xfId="0" applyFont="1" applyFill="1" applyBorder="1" applyAlignment="1">
      <alignment horizontal="center" vertical="center" wrapText="1"/>
    </xf>
    <xf numFmtId="9" fontId="6" fillId="4" borderId="92" xfId="28297" applyFont="1" applyFill="1" applyBorder="1" applyAlignment="1">
      <alignment horizontal="right" vertical="center"/>
    </xf>
    <xf numFmtId="9" fontId="6" fillId="4" borderId="86" xfId="28297" applyFont="1" applyFill="1" applyBorder="1" applyAlignment="1">
      <alignment horizontal="right" vertical="center"/>
    </xf>
    <xf numFmtId="0" fontId="9" fillId="138" borderId="0" xfId="0" applyFont="1" applyFill="1" applyBorder="1" applyAlignment="1">
      <alignment horizontal="center" vertical="center" textRotation="90" wrapText="1"/>
    </xf>
    <xf numFmtId="0" fontId="9" fillId="138" borderId="0" xfId="0" applyFont="1" applyFill="1" applyBorder="1" applyAlignment="1">
      <alignment horizontal="center" vertical="center" textRotation="90"/>
    </xf>
    <xf numFmtId="0" fontId="9" fillId="135" borderId="0" xfId="0" applyFont="1" applyFill="1" applyBorder="1" applyAlignment="1">
      <alignment horizontal="center" vertical="center" textRotation="90" wrapText="1"/>
    </xf>
  </cellXfs>
  <cellStyles count="28298">
    <cellStyle name="_x0013_" xfId="17" xr:uid="{00000000-0005-0000-0000-000000000000}"/>
    <cellStyle name="-" xfId="18" xr:uid="{00000000-0005-0000-0000-000001000000}"/>
    <cellStyle name=" 1" xfId="19" xr:uid="{00000000-0005-0000-0000-000002000000}"/>
    <cellStyle name=" _x0007_LÓ_x0018_ÄþÍN^NuNVþˆHÁ_x0001__x0018_(n" xfId="20" xr:uid="{00000000-0005-0000-0000-000003000000}"/>
    <cellStyle name=" Task]_x000d__x000a_TaskName=Scan At_x000d__x000a_TaskID=3_x000d__x000a_WorkstationName=SmarTone_x000d__x000a_LastExecuted=0_x000d__x000a_LastSt" xfId="21" xr:uid="{00000000-0005-0000-0000-000004000000}"/>
    <cellStyle name="&quot;X&quot; Men" xfId="22" xr:uid="{00000000-0005-0000-0000-000005000000}"/>
    <cellStyle name="$" xfId="23" xr:uid="{00000000-0005-0000-0000-000006000000}"/>
    <cellStyle name="$ 0 decimal" xfId="24" xr:uid="{00000000-0005-0000-0000-000007000000}"/>
    <cellStyle name="$ 1 decimal" xfId="25" xr:uid="{00000000-0005-0000-0000-000008000000}"/>
    <cellStyle name="$ 2 decimals" xfId="26" xr:uid="{00000000-0005-0000-0000-000009000000}"/>
    <cellStyle name="$ Bold Output Amounts" xfId="27" xr:uid="{00000000-0005-0000-0000-00000A000000}"/>
    <cellStyle name="$ Output Amounts" xfId="28" xr:uid="{00000000-0005-0000-0000-00000B000000}"/>
    <cellStyle name="$ Reverse variance" xfId="29" xr:uid="{00000000-0005-0000-0000-00000C000000}"/>
    <cellStyle name="$." xfId="30" xr:uid="{00000000-0005-0000-0000-00000D000000}"/>
    <cellStyle name="$_{9.01.01} Project Motorhead Model" xfId="31" xr:uid="{00000000-0005-0000-0000-00000E000000}"/>
    <cellStyle name="$_Lev Fin Pitch Charts.v2" xfId="32" xr:uid="{00000000-0005-0000-0000-00000F000000}"/>
    <cellStyle name="$_Pitch Chartsv3" xfId="33" xr:uid="{00000000-0005-0000-0000-000010000000}"/>
    <cellStyle name="$_TSA Model - 1 8 06 - v2" xfId="34" xr:uid="{00000000-0005-0000-0000-000011000000}"/>
    <cellStyle name="$_TSA Model - 1 8 06 - v2_Valerus Financial Model  - COMPANY VERSION 7-1-09 (Barcap v2)" xfId="35" xr:uid="{00000000-0005-0000-0000-000012000000}"/>
    <cellStyle name="$_TSA Model - 1 8 06 - v2_Valerus Financial Model  - COMPANY VERSION 7-1-09 (Barcap v28)" xfId="36" xr:uid="{00000000-0005-0000-0000-000013000000}"/>
    <cellStyle name="$_UCO_MLP Cap Tables_5-2006 v11 (2)" xfId="37" xr:uid="{00000000-0005-0000-0000-000014000000}"/>
    <cellStyle name="%" xfId="38" xr:uid="{00000000-0005-0000-0000-000015000000}"/>
    <cellStyle name="% Growth" xfId="39" xr:uid="{00000000-0005-0000-0000-000016000000}"/>
    <cellStyle name="%%" xfId="40" xr:uid="{00000000-0005-0000-0000-000017000000}"/>
    <cellStyle name="%." xfId="41" xr:uid="{00000000-0005-0000-0000-000018000000}"/>
    <cellStyle name="%_Luna - Debt paydown" xfId="42" xr:uid="{00000000-0005-0000-0000-000019000000}"/>
    <cellStyle name="%_Net Debt 260609 - 1922 numbers - revised" xfId="43" xr:uid="{00000000-0005-0000-0000-00001A000000}"/>
    <cellStyle name="%_NWC" xfId="44" xr:uid="{00000000-0005-0000-0000-00001B000000}"/>
    <cellStyle name="%_Pyramid research" xfId="45" xr:uid="{00000000-0005-0000-0000-00001C000000}"/>
    <cellStyle name="%_Pyramid research_Luna - Debt paydown" xfId="46" xr:uid="{00000000-0005-0000-0000-00001D000000}"/>
    <cellStyle name="%_Pyramid research_Net Debt 260609 - 1922 numbers - revised" xfId="47" xr:uid="{00000000-0005-0000-0000-00001E000000}"/>
    <cellStyle name="%_Pyramid research_NWC" xfId="48" xr:uid="{00000000-0005-0000-0000-00001F000000}"/>
    <cellStyle name="%_SheetX" xfId="49" xr:uid="{00000000-0005-0000-0000-000020000000}"/>
    <cellStyle name="%2" xfId="50" xr:uid="{00000000-0005-0000-0000-000021000000}"/>
    <cellStyle name="******************************************" xfId="51" xr:uid="{00000000-0005-0000-0000-000022000000}"/>
    <cellStyle name=",1" xfId="52" xr:uid="{00000000-0005-0000-0000-000023000000}"/>
    <cellStyle name=",2" xfId="53" xr:uid="{00000000-0005-0000-0000-000024000000}"/>
    <cellStyle name="." xfId="54" xr:uid="{00000000-0005-0000-0000-000025000000}"/>
    <cellStyle name="..1" xfId="55" xr:uid="{00000000-0005-0000-0000-000026000000}"/>
    <cellStyle name="._Lev Fin Pitch Charts.v2" xfId="56" xr:uid="{00000000-0005-0000-0000-000027000000}"/>
    <cellStyle name="._Pitch Chartsv3" xfId="57" xr:uid="{00000000-0005-0000-0000-000028000000}"/>
    <cellStyle name="._UCO_MLP Cap Tables_5-2006 v11 (2)" xfId="58" xr:uid="{00000000-0005-0000-0000-000029000000}"/>
    <cellStyle name=".0" xfId="59" xr:uid="{00000000-0005-0000-0000-00002A000000}"/>
    <cellStyle name=".0\" xfId="60" xr:uid="{00000000-0005-0000-0000-00002B000000}"/>
    <cellStyle name=".0\ 2" xfId="61" xr:uid="{00000000-0005-0000-0000-00002C000000}"/>
    <cellStyle name=".0\ 2 2" xfId="62" xr:uid="{00000000-0005-0000-0000-00002D000000}"/>
    <cellStyle name=".0\ 2 2 2" xfId="63" xr:uid="{00000000-0005-0000-0000-00002E000000}"/>
    <cellStyle name=".0\ 2 2 3" xfId="64" xr:uid="{00000000-0005-0000-0000-00002F000000}"/>
    <cellStyle name=".0\ 2 3" xfId="65" xr:uid="{00000000-0005-0000-0000-000030000000}"/>
    <cellStyle name=".0\ 2 4" xfId="66" xr:uid="{00000000-0005-0000-0000-000031000000}"/>
    <cellStyle name=".0\ 3" xfId="67" xr:uid="{00000000-0005-0000-0000-000032000000}"/>
    <cellStyle name=".0\ 3 2" xfId="68" xr:uid="{00000000-0005-0000-0000-000033000000}"/>
    <cellStyle name=".0\ 3 3" xfId="69" xr:uid="{00000000-0005-0000-0000-000034000000}"/>
    <cellStyle name=".0\ 4" xfId="70" xr:uid="{00000000-0005-0000-0000-000035000000}"/>
    <cellStyle name=".0\ 5" xfId="71" xr:uid="{00000000-0005-0000-0000-000036000000}"/>
    <cellStyle name=".0_BB_ChartsandTables_Oct05_v1" xfId="72" xr:uid="{00000000-0005-0000-0000-000037000000}"/>
    <cellStyle name=".00" xfId="73" xr:uid="{00000000-0005-0000-0000-000038000000}"/>
    <cellStyle name=".000" xfId="74" xr:uid="{00000000-0005-0000-0000-000039000000}"/>
    <cellStyle name=".1" xfId="75" xr:uid="{00000000-0005-0000-0000-00003A000000}"/>
    <cellStyle name=".11" xfId="76" xr:uid="{00000000-0005-0000-0000-00003B000000}"/>
    <cellStyle name=".2" xfId="77" xr:uid="{00000000-0005-0000-0000-00003C000000}"/>
    <cellStyle name=".3" xfId="78" xr:uid="{00000000-0005-0000-0000-00003D000000}"/>
    <cellStyle name=".d." xfId="79" xr:uid="{00000000-0005-0000-0000-00003E000000}"/>
    <cellStyle name=".q" xfId="80" xr:uid="{00000000-0005-0000-0000-00003F000000}"/>
    <cellStyle name="??" xfId="81" xr:uid="{00000000-0005-0000-0000-000040000000}"/>
    <cellStyle name="?? [0.00]_??????cula" xfId="82" xr:uid="{00000000-0005-0000-0000-000041000000}"/>
    <cellStyle name="?? [0]_??" xfId="83" xr:uid="{00000000-0005-0000-0000-000042000000}"/>
    <cellStyle name="???? [0.00]_dimon" xfId="84" xr:uid="{00000000-0005-0000-0000-000043000000}"/>
    <cellStyle name="?????_VERA" xfId="85" xr:uid="{00000000-0005-0000-0000-000044000000}"/>
    <cellStyle name="????_dimon" xfId="86" xr:uid="{00000000-0005-0000-0000-000045000000}"/>
    <cellStyle name="??_?.????" xfId="87" xr:uid="{00000000-0005-0000-0000-000046000000}"/>
    <cellStyle name="[1" xfId="88" xr:uid="{00000000-0005-0000-0000-000047000000}"/>
    <cellStyle name="]_x000d__x000a_Zoomed=1_x000d__x000a_Row=0_x000d__x000a_Column=0_x000d__x000a_Height=0_x000d__x000a_Width=0_x000d__x000a_FontName=FoxFont_x000d__x000a_FontStyle=0_x000d__x000a_FontSize=9_x000d__x000a_PrtFontName=FoxPrin" xfId="89" xr:uid="{00000000-0005-0000-0000-000048000000}"/>
    <cellStyle name="]_x000d__x000a_Zoomed=1_x000d__x000a_Row=0_x000d__x000a_Column=0_x000d__x000a_Height=0_x000d__x000a_Width=0_x000d__x000a_FontName=FoxFont_x000d__x000a_FontStyle=0_x000d__x000a_FontSize=9_x000d__x000a_PrtFontName=FoxPrin 2" xfId="90" xr:uid="{00000000-0005-0000-0000-000049000000}"/>
    <cellStyle name="]_x000d__x000a_Zoomed=1_x000d__x000a_Row=0_x000d__x000a_Column=0_x000d__x000a_Height=0_x000d__x000a_Width=0_x000d__x000a_FontName=FoxFont_x000d__x000a_FontStyle=0_x000d__x000a_FontSize=9_x000d__x000a_PrtFontName=FoxPrin_A - GP Valued Company Investment Summaries 3Q10" xfId="91" xr:uid="{00000000-0005-0000-0000-00004A000000}"/>
    <cellStyle name="_ heading$" xfId="92" xr:uid="{00000000-0005-0000-0000-00004B000000}"/>
    <cellStyle name="_ heading%" xfId="93" xr:uid="{00000000-0005-0000-0000-00004C000000}"/>
    <cellStyle name="_ heading£" xfId="94" xr:uid="{00000000-0005-0000-0000-00004D000000}"/>
    <cellStyle name="_ heading¥" xfId="95" xr:uid="{00000000-0005-0000-0000-00004E000000}"/>
    <cellStyle name="_ heading€" xfId="96" xr:uid="{00000000-0005-0000-0000-00004F000000}"/>
    <cellStyle name="_ headingx" xfId="97" xr:uid="{00000000-0005-0000-0000-000050000000}"/>
    <cellStyle name="_%(SignOnly)" xfId="98" xr:uid="{00000000-0005-0000-0000-000051000000}"/>
    <cellStyle name="_%(SignOnly)_Biomet Valuation - 4Q10" xfId="99" xr:uid="{00000000-0005-0000-0000-000052000000}"/>
    <cellStyle name="_%(SignOnly)_Definitions" xfId="100" xr:uid="{00000000-0005-0000-0000-000053000000}"/>
    <cellStyle name="_%(SignOnly)_Definitions_Luna - Operating model - July 19_VTB_v2" xfId="101" xr:uid="{00000000-0005-0000-0000-000054000000}"/>
    <cellStyle name="_%(SignOnly)_Definitions_Revised cash" xfId="102" xr:uid="{00000000-0005-0000-0000-000055000000}"/>
    <cellStyle name="_%(SignOnly)_Luna - Operating model - July 19_VTB_v2" xfId="103" xr:uid="{00000000-0005-0000-0000-000056000000}"/>
    <cellStyle name="_%(SignOnly)_Revised cash" xfId="104" xr:uid="{00000000-0005-0000-0000-000057000000}"/>
    <cellStyle name="_%(SignSpaceOnly)" xfId="105" xr:uid="{00000000-0005-0000-0000-000058000000}"/>
    <cellStyle name="_%(SignSpaceOnly)_Biomet Valuation - 4Q10" xfId="106" xr:uid="{00000000-0005-0000-0000-000059000000}"/>
    <cellStyle name="_%(SignSpaceOnly)_Definitions" xfId="107" xr:uid="{00000000-0005-0000-0000-00005A000000}"/>
    <cellStyle name="_%(SignSpaceOnly)_Definitions_Luna - Operating model - July 19_VTB_v2" xfId="108" xr:uid="{00000000-0005-0000-0000-00005B000000}"/>
    <cellStyle name="_%(SignSpaceOnly)_Definitions_Revised cash" xfId="109" xr:uid="{00000000-0005-0000-0000-00005C000000}"/>
    <cellStyle name="_%(SignSpaceOnly)_Luna - Operating model - July 19_VTB_v2" xfId="110" xr:uid="{00000000-0005-0000-0000-00005D000000}"/>
    <cellStyle name="_%(SignSpaceOnly)_Revised cash" xfId="111" xr:uid="{00000000-0005-0000-0000-00005E000000}"/>
    <cellStyle name="_0.0[1space]" xfId="112" xr:uid="{00000000-0005-0000-0000-00005F000000}"/>
    <cellStyle name="_0.0[2space]" xfId="113" xr:uid="{00000000-0005-0000-0000-000060000000}"/>
    <cellStyle name="_0.0[2space]_Base and Downside Case DCF Analysis (Excel Document)" xfId="114" xr:uid="{00000000-0005-0000-0000-000061000000}"/>
    <cellStyle name="_0.0[3space]" xfId="115" xr:uid="{00000000-0005-0000-0000-000062000000}"/>
    <cellStyle name="_0.0[3space]Bold" xfId="116" xr:uid="{00000000-0005-0000-0000-000063000000}"/>
    <cellStyle name="_0.0[4space]" xfId="117" xr:uid="{00000000-0005-0000-0000-000064000000}"/>
    <cellStyle name="_0.0[4space]Bold" xfId="118" xr:uid="{00000000-0005-0000-0000-000065000000}"/>
    <cellStyle name="_0.00[1space]" xfId="119" xr:uid="{00000000-0005-0000-0000-000066000000}"/>
    <cellStyle name="_0.00[2space]" xfId="120" xr:uid="{00000000-0005-0000-0000-000067000000}"/>
    <cellStyle name="_0.00[3space]" xfId="121" xr:uid="{00000000-0005-0000-0000-000068000000}"/>
    <cellStyle name="_0.00[4space]" xfId="122" xr:uid="{00000000-0005-0000-0000-000069000000}"/>
    <cellStyle name="_0[1space]" xfId="123" xr:uid="{00000000-0005-0000-0000-00006A000000}"/>
    <cellStyle name="_0[1space]_Base and Downside Case DCF Analysis (Excel Document)" xfId="124" xr:uid="{00000000-0005-0000-0000-00006B000000}"/>
    <cellStyle name="_0[2space]" xfId="125" xr:uid="{00000000-0005-0000-0000-00006C000000}"/>
    <cellStyle name="_0[2space]_Base and Downside Case DCF Analysis (Excel Document)" xfId="126" xr:uid="{00000000-0005-0000-0000-00006D000000}"/>
    <cellStyle name="_0[2space]Bold" xfId="127" xr:uid="{00000000-0005-0000-0000-00006E000000}"/>
    <cellStyle name="_0[3space]" xfId="128" xr:uid="{00000000-0005-0000-0000-00006F000000}"/>
    <cellStyle name="_0[3space]Bold" xfId="129" xr:uid="{00000000-0005-0000-0000-000070000000}"/>
    <cellStyle name="_0[4space]" xfId="130" xr:uid="{00000000-0005-0000-0000-000071000000}"/>
    <cellStyle name="_0[4space]Bold" xfId="131" xr:uid="{00000000-0005-0000-0000-000072000000}"/>
    <cellStyle name="_AAI_Generic Charts" xfId="132" xr:uid="{00000000-0005-0000-0000-000073000000}"/>
    <cellStyle name="_APL_Generic Charts" xfId="133" xr:uid="{00000000-0005-0000-0000-000074000000}"/>
    <cellStyle name="_APLGP_Charts" xfId="134" xr:uid="{00000000-0005-0000-0000-000075000000}"/>
    <cellStyle name="_BHGP_GP_IPO_Pitch_Charts_v6" xfId="135" xr:uid="{00000000-0005-0000-0000-000076000000}"/>
    <cellStyle name="_BHGP_Valuation" xfId="136" xr:uid="{00000000-0005-0000-0000-000077000000}"/>
    <cellStyle name="_Billing-details - To be used for phase 2 -v2" xfId="137" xr:uid="{00000000-0005-0000-0000-000078000000}"/>
    <cellStyle name="_BlueText" xfId="138" xr:uid="{00000000-0005-0000-0000-000079000000}"/>
    <cellStyle name="_Bond Chart" xfId="139" xr:uid="{00000000-0005-0000-0000-00007A000000}"/>
    <cellStyle name="_Cap Charts 9.05" xfId="140" xr:uid="{00000000-0005-0000-0000-00007B000000}"/>
    <cellStyle name="_CAPEX сводный платежный бюджет от 11 12 07 " xfId="141" xr:uid="{00000000-0005-0000-0000-00007C000000}"/>
    <cellStyle name="_Cash flow (2007-2008)" xfId="142" xr:uid="{00000000-0005-0000-0000-00007D000000}"/>
    <cellStyle name="_CFS_Deloitte model_July-December07" xfId="143" xr:uid="{00000000-0005-0000-0000-00007E000000}"/>
    <cellStyle name="_CIM Charts v3" xfId="144" xr:uid="{00000000-0005-0000-0000-00007F000000}"/>
    <cellStyle name="_Comma" xfId="145" xr:uid="{00000000-0005-0000-0000-000080000000}"/>
    <cellStyle name="_Comma_{9.01.01} Project Motorhead Model" xfId="146" xr:uid="{00000000-0005-0000-0000-000081000000}"/>
    <cellStyle name="_Comma_AVP" xfId="147" xr:uid="{00000000-0005-0000-0000-000082000000}"/>
    <cellStyle name="_Comma_Bank Book Charts 1.0" xfId="148" xr:uid="{00000000-0005-0000-0000-000083000000}"/>
    <cellStyle name="_Comma_Biomet Valuation - 4Q10" xfId="149" xr:uid="{00000000-0005-0000-0000-000084000000}"/>
    <cellStyle name="_Comma_Book1" xfId="150" xr:uid="{00000000-0005-0000-0000-000085000000}"/>
    <cellStyle name="_Comma_Cap Charts 9.05" xfId="151" xr:uid="{00000000-0005-0000-0000-000086000000}"/>
    <cellStyle name="_Comma_contribution_analysis" xfId="152" xr:uid="{00000000-0005-0000-0000-000087000000}"/>
    <cellStyle name="_Comma_CPH LBO Model RAP (4)" xfId="153" xr:uid="{00000000-0005-0000-0000-000088000000}"/>
    <cellStyle name="_Comma_dcf" xfId="154" xr:uid="{00000000-0005-0000-0000-000089000000}"/>
    <cellStyle name="_Comma_Definitions" xfId="155" xr:uid="{00000000-0005-0000-0000-00008A000000}"/>
    <cellStyle name="_Comma_Definitions_Luna - Operating model - July 19_VTB_v2" xfId="156" xr:uid="{00000000-0005-0000-0000-00008B000000}"/>
    <cellStyle name="_Comma_Definitions_Revised cash" xfId="157" xr:uid="{00000000-0005-0000-0000-00008C000000}"/>
    <cellStyle name="_Comma_Lev Fin Pitch Charts.v2" xfId="158" xr:uid="{00000000-0005-0000-0000-00008D000000}"/>
    <cellStyle name="_Comma_Luna - Operating model - July 19_VTB_v2" xfId="159" xr:uid="{00000000-0005-0000-0000-00008E000000}"/>
    <cellStyle name="_Comma_PPP, Borrowing Base Model, 2007-04, v3" xfId="160" xr:uid="{00000000-0005-0000-0000-00008F000000}"/>
    <cellStyle name="_Comma_Revised cash" xfId="161" xr:uid="{00000000-0005-0000-0000-000090000000}"/>
    <cellStyle name="_Comma_Syndication Process Memo Charts - CPH" xfId="162" xr:uid="{00000000-0005-0000-0000-000091000000}"/>
    <cellStyle name="_Comma_UCO_MLP Cap Tables_5-2006 v11 (2)" xfId="163" xr:uid="{00000000-0005-0000-0000-000092000000}"/>
    <cellStyle name="_Comma_Unifrax CIM Charts Masterv3" xfId="164" xr:uid="{00000000-0005-0000-0000-000093000000}"/>
    <cellStyle name="_Comma_Whiting CAM inserts_AUG 2005_v10" xfId="165" xr:uid="{00000000-0005-0000-0000-000094000000}"/>
    <cellStyle name="_Covenants_IPO" xfId="166" xr:uid="{00000000-0005-0000-0000-000095000000}"/>
    <cellStyle name="_Covenants_IPO_Book5" xfId="167" xr:uid="{00000000-0005-0000-0000-000096000000}"/>
    <cellStyle name="_Covenants_IPO_Book5_AMED Pitch Charts 5-2-05 v2" xfId="168" xr:uid="{00000000-0005-0000-0000-000097000000}"/>
    <cellStyle name="_Covenants_IPO_Book5_HY RVA" xfId="169" xr:uid="{00000000-0005-0000-0000-000098000000}"/>
    <cellStyle name="_Covenants_IPO_Cap Charts v3" xfId="170" xr:uid="{00000000-0005-0000-0000-000099000000}"/>
    <cellStyle name="_Covenants_IPO_Executive Summary Charts" xfId="171" xr:uid="{00000000-0005-0000-0000-00009A000000}"/>
    <cellStyle name="_Covenants_IPO_GP Pitch Charts" xfId="172" xr:uid="{00000000-0005-0000-0000-00009B000000}"/>
    <cellStyle name="_Covenants_IPO_GP Pitch Charts_HY RVA" xfId="173" xr:uid="{00000000-0005-0000-0000-00009C000000}"/>
    <cellStyle name="_Covenants_IPO_MASTER Midstream Comps 1.19.05" xfId="174" xr:uid="{00000000-0005-0000-0000-00009D000000}"/>
    <cellStyle name="_Covenants_IPO_MASTER Midstream Comps 1.19.05(b)" xfId="175" xr:uid="{00000000-0005-0000-0000-00009E000000}"/>
    <cellStyle name="_Covenants_IPO_MASTER Midstream Comps 1.19.05(b)_HY RVA" xfId="176" xr:uid="{00000000-0005-0000-0000-00009F000000}"/>
    <cellStyle name="_Covenants_IPO_MASTER Midstream Comps 1.19.05_HY RVA" xfId="177" xr:uid="{00000000-0005-0000-0000-0000A0000000}"/>
    <cellStyle name="_Covenants_IPO_Unifrax CIM Charts Masterv3" xfId="178" xr:uid="{00000000-0005-0000-0000-0000A1000000}"/>
    <cellStyle name="_covenant-v12" xfId="179" xr:uid="{00000000-0005-0000-0000-0000A2000000}"/>
    <cellStyle name="_covenant-v12_Book5" xfId="180" xr:uid="{00000000-0005-0000-0000-0000A3000000}"/>
    <cellStyle name="_covenant-v12_Book5_AMED Pitch Charts 5-2-05 v2" xfId="181" xr:uid="{00000000-0005-0000-0000-0000A4000000}"/>
    <cellStyle name="_covenant-v12_Book5_HY RVA" xfId="182" xr:uid="{00000000-0005-0000-0000-0000A5000000}"/>
    <cellStyle name="_covenant-v12_Cap Charts v3" xfId="183" xr:uid="{00000000-0005-0000-0000-0000A6000000}"/>
    <cellStyle name="_covenant-v12_Executive Summary Charts" xfId="184" xr:uid="{00000000-0005-0000-0000-0000A7000000}"/>
    <cellStyle name="_covenant-v12_GP Pitch Charts" xfId="185" xr:uid="{00000000-0005-0000-0000-0000A8000000}"/>
    <cellStyle name="_covenant-v12_GP Pitch Charts_HY RVA" xfId="186" xr:uid="{00000000-0005-0000-0000-0000A9000000}"/>
    <cellStyle name="_covenant-v12_MASTER Midstream Comps 1.19.05" xfId="187" xr:uid="{00000000-0005-0000-0000-0000AA000000}"/>
    <cellStyle name="_covenant-v12_MASTER Midstream Comps 1.19.05(b)" xfId="188" xr:uid="{00000000-0005-0000-0000-0000AB000000}"/>
    <cellStyle name="_covenant-v12_MASTER Midstream Comps 1.19.05(b)_HY RVA" xfId="189" xr:uid="{00000000-0005-0000-0000-0000AC000000}"/>
    <cellStyle name="_covenant-v12_MASTER Midstream Comps 1.19.05_HY RVA" xfId="190" xr:uid="{00000000-0005-0000-0000-0000AD000000}"/>
    <cellStyle name="_covenant-v12_Unifrax CIM Charts Masterv3" xfId="191" xr:uid="{00000000-0005-0000-0000-0000AE000000}"/>
    <cellStyle name="_CPH LBO Model RAP (4)" xfId="192" xr:uid="{00000000-0005-0000-0000-0000AF000000}"/>
    <cellStyle name="_Currency" xfId="193" xr:uid="{00000000-0005-0000-0000-0000B0000000}"/>
    <cellStyle name="_Currency_{9.01.01} Project Motorhead Model" xfId="194" xr:uid="{00000000-0005-0000-0000-0000B1000000}"/>
    <cellStyle name="_Currency_Alamosa Merger" xfId="195" xr:uid="{00000000-0005-0000-0000-0000B2000000}"/>
    <cellStyle name="_Currency_Alamosa Merger Under Loan Update Final Downside" xfId="196" xr:uid="{00000000-0005-0000-0000-0000B3000000}"/>
    <cellStyle name="_Currency_Alamosa Standalone6" xfId="197" xr:uid="{00000000-0005-0000-0000-0000B4000000}"/>
    <cellStyle name="_Currency_Alamosa Standalone8b" xfId="198" xr:uid="{00000000-0005-0000-0000-0000B5000000}"/>
    <cellStyle name="_Currency_AVP" xfId="199" xr:uid="{00000000-0005-0000-0000-0000B6000000}"/>
    <cellStyle name="_Currency_Biomet Valuation - 4Q10" xfId="200" xr:uid="{00000000-0005-0000-0000-0000B7000000}"/>
    <cellStyle name="_Currency_Book1" xfId="201" xr:uid="{00000000-0005-0000-0000-0000B8000000}"/>
    <cellStyle name="_Currency_Combo RW 125" xfId="202" xr:uid="{00000000-0005-0000-0000-0000B9000000}"/>
    <cellStyle name="_Currency_contribution_analysis" xfId="203" xr:uid="{00000000-0005-0000-0000-0000BA000000}"/>
    <cellStyle name="_Currency_CPH LBO Model RAP (4)" xfId="204" xr:uid="{00000000-0005-0000-0000-0000BB000000}"/>
    <cellStyle name="_Currency_dcf" xfId="205" xr:uid="{00000000-0005-0000-0000-0000BC000000}"/>
    <cellStyle name="_Currency_Definitions" xfId="206" xr:uid="{00000000-0005-0000-0000-0000BD000000}"/>
    <cellStyle name="_Currency_Definitions_Luna - Operating model - July 19_VTB_v2" xfId="207" xr:uid="{00000000-0005-0000-0000-0000BE000000}"/>
    <cellStyle name="_Currency_Definitions_Revised cash" xfId="208" xr:uid="{00000000-0005-0000-0000-0000BF000000}"/>
    <cellStyle name="_Currency_Downside Sum Sht" xfId="209" xr:uid="{00000000-0005-0000-0000-0000C0000000}"/>
    <cellStyle name="_Currency_Roberts Standalone14 Quarterly 2" xfId="210" xr:uid="{00000000-0005-0000-0000-0000C1000000}"/>
    <cellStyle name="_Currency_scenarios" xfId="211" xr:uid="{00000000-0005-0000-0000-0000C2000000}"/>
    <cellStyle name="_Currency_Sheet1" xfId="212" xr:uid="{00000000-0005-0000-0000-0000C3000000}"/>
    <cellStyle name="_Currency_Summary Sheets2" xfId="213" xr:uid="{00000000-0005-0000-0000-0000C4000000}"/>
    <cellStyle name="_Currency_VIA_Evans NOL Analysis" xfId="214" xr:uid="{00000000-0005-0000-0000-0000C5000000}"/>
    <cellStyle name="_Currency_WOW Standalone Quarterly 2" xfId="215" xr:uid="{00000000-0005-0000-0000-0000C6000000}"/>
    <cellStyle name="_CurrencySpace" xfId="216" xr:uid="{00000000-0005-0000-0000-0000C7000000}"/>
    <cellStyle name="_CurrencySpace_{9.01.01} Project Motorhead Model" xfId="217" xr:uid="{00000000-0005-0000-0000-0000C8000000}"/>
    <cellStyle name="_CurrencySpace_AVP" xfId="218" xr:uid="{00000000-0005-0000-0000-0000C9000000}"/>
    <cellStyle name="_CurrencySpace_Biomet Valuation - 4Q10" xfId="219" xr:uid="{00000000-0005-0000-0000-0000CA000000}"/>
    <cellStyle name="_CurrencySpace_Book1" xfId="220" xr:uid="{00000000-0005-0000-0000-0000CB000000}"/>
    <cellStyle name="_CurrencySpace_contribution_analysis" xfId="221" xr:uid="{00000000-0005-0000-0000-0000CC000000}"/>
    <cellStyle name="_CurrencySpace_dcf" xfId="222" xr:uid="{00000000-0005-0000-0000-0000CD000000}"/>
    <cellStyle name="_CurrencySpace_Definitions" xfId="223" xr:uid="{00000000-0005-0000-0000-0000CE000000}"/>
    <cellStyle name="_CurrencySpace_Definitions_Luna - Operating model - July 19_VTB_v2" xfId="224" xr:uid="{00000000-0005-0000-0000-0000CF000000}"/>
    <cellStyle name="_CurrencySpace_Definitions_Revised cash" xfId="225" xr:uid="{00000000-0005-0000-0000-0000D0000000}"/>
    <cellStyle name="_CurrencySpace_Luna - Operating model - July 19_VTB_v2" xfId="226" xr:uid="{00000000-0005-0000-0000-0000D1000000}"/>
    <cellStyle name="_CurrencySpace_Revised cash" xfId="227" xr:uid="{00000000-0005-0000-0000-0000D2000000}"/>
    <cellStyle name="_Enbridge charts_v7" xfId="228" xr:uid="{00000000-0005-0000-0000-0000D3000000}"/>
    <cellStyle name="_EnerVest Pitch Charts_v3 (for screen)" xfId="229" xr:uid="{00000000-0005-0000-0000-0000D4000000}"/>
    <cellStyle name="_Euro" xfId="230" xr:uid="{00000000-0005-0000-0000-0000D5000000}"/>
    <cellStyle name="_Euro_Biomet Valuation - 4Q10" xfId="231" xr:uid="{00000000-0005-0000-0000-0000D6000000}"/>
    <cellStyle name="_Euro_Definitions" xfId="232" xr:uid="{00000000-0005-0000-0000-0000D7000000}"/>
    <cellStyle name="_Euro_Luna - Operating model - July 19_VTB_v2" xfId="233" xr:uid="{00000000-0005-0000-0000-0000D8000000}"/>
    <cellStyle name="_Euro_Revised cash" xfId="234" xr:uid="{00000000-0005-0000-0000-0000D9000000}"/>
    <cellStyle name="_Forward Calendar Charts" xfId="235" xr:uid="{00000000-0005-0000-0000-0000DA000000}"/>
    <cellStyle name="_Graphs for Genericsv2.xls Chart 1" xfId="236" xr:uid="{00000000-0005-0000-0000-0000DB000000}"/>
    <cellStyle name="_Graphs for Genericsv2.xls Chart 2" xfId="237" xr:uid="{00000000-0005-0000-0000-0000DC000000}"/>
    <cellStyle name="_Graphs for Genericsv2.xls Chart 3" xfId="238" xr:uid="{00000000-0005-0000-0000-0000DD000000}"/>
    <cellStyle name="_Graphs for Genericsv2.xls Chart 4" xfId="239" xr:uid="{00000000-0005-0000-0000-0000DE000000}"/>
    <cellStyle name="_Heading" xfId="240" xr:uid="{00000000-0005-0000-0000-0000DF000000}"/>
    <cellStyle name="_Heading_Definitions" xfId="241" xr:uid="{00000000-0005-0000-0000-0000E0000000}"/>
    <cellStyle name="_Heading_Luna - Debt paydown" xfId="242" xr:uid="{00000000-0005-0000-0000-0000E1000000}"/>
    <cellStyle name="_Heading_Net Debt 260609 - 1922 numbers - revised" xfId="243" xr:uid="{00000000-0005-0000-0000-0000E2000000}"/>
    <cellStyle name="_Heading_NWC" xfId="244" xr:uid="{00000000-0005-0000-0000-0000E3000000}"/>
    <cellStyle name="_Heading_prestemp" xfId="245" xr:uid="{00000000-0005-0000-0000-0000E4000000}"/>
    <cellStyle name="_Heading_prestemp_Valerus Financial Model  - COMPANY VERSION 7-1-09 (Barcap v2)" xfId="246" xr:uid="{00000000-0005-0000-0000-0000E5000000}"/>
    <cellStyle name="_Heading_prestemp_Valerus Financial Model  - COMPANY VERSION 7-1-09 (Barcap v28)" xfId="247" xr:uid="{00000000-0005-0000-0000-0000E6000000}"/>
    <cellStyle name="_Heading_Pyramid research" xfId="248" xr:uid="{00000000-0005-0000-0000-0000E7000000}"/>
    <cellStyle name="_Highlight" xfId="249" xr:uid="{00000000-0005-0000-0000-0000E8000000}"/>
    <cellStyle name="_Highlight_Biomet Valuation - 4Q10" xfId="250" xr:uid="{00000000-0005-0000-0000-0000E9000000}"/>
    <cellStyle name="_Highlight_Definitions" xfId="251" xr:uid="{00000000-0005-0000-0000-0000EA000000}"/>
    <cellStyle name="_Inputs" xfId="252" xr:uid="{00000000-0005-0000-0000-0000EB000000}"/>
    <cellStyle name="_Lev Fin Pitch Charts.v2" xfId="253" xr:uid="{00000000-0005-0000-0000-0000EC000000}"/>
    <cellStyle name="_Lev Fin Pitch Charts.v2_Valerus Financial Model  - COMPANY VERSION 7-1-09 (Barcap v2)" xfId="254" xr:uid="{00000000-0005-0000-0000-0000ED000000}"/>
    <cellStyle name="_Lev Fin Pitch Charts.v2_Valerus Financial Model  - COMPANY VERSION 7-1-09 (Barcap v28)" xfId="255" xr:uid="{00000000-0005-0000-0000-0000EE000000}"/>
    <cellStyle name="_Luna onePager_v14" xfId="256" xr:uid="{00000000-0005-0000-0000-0000EF000000}"/>
    <cellStyle name="_Model_Assumptions2" xfId="257" xr:uid="{00000000-0005-0000-0000-0000F0000000}"/>
    <cellStyle name="_Multiple" xfId="258" xr:uid="{00000000-0005-0000-0000-0000F1000000}"/>
    <cellStyle name="_Multiple_{9.01.01} Project Motorhead Model" xfId="259" xr:uid="{00000000-0005-0000-0000-0000F2000000}"/>
    <cellStyle name="_Multiple_AVP" xfId="260" xr:uid="{00000000-0005-0000-0000-0000F3000000}"/>
    <cellStyle name="_Multiple_Biomet Valuation - 4Q10" xfId="261" xr:uid="{00000000-0005-0000-0000-0000F4000000}"/>
    <cellStyle name="_Multiple_Book1" xfId="262" xr:uid="{00000000-0005-0000-0000-0000F5000000}"/>
    <cellStyle name="_Multiple_contribution_analysis" xfId="263" xr:uid="{00000000-0005-0000-0000-0000F6000000}"/>
    <cellStyle name="_Multiple_CPH LBO Model RAP (4)" xfId="264" xr:uid="{00000000-0005-0000-0000-0000F7000000}"/>
    <cellStyle name="_Multiple_dcf" xfId="265" xr:uid="{00000000-0005-0000-0000-0000F8000000}"/>
    <cellStyle name="_Multiple_Definitions" xfId="266" xr:uid="{00000000-0005-0000-0000-0000F9000000}"/>
    <cellStyle name="_Multiple_Luna - Operating model - July 19_VTB_v2" xfId="267" xr:uid="{00000000-0005-0000-0000-0000FA000000}"/>
    <cellStyle name="_Multiple_Revised cash" xfId="268" xr:uid="{00000000-0005-0000-0000-0000FB000000}"/>
    <cellStyle name="_MultipleSpace" xfId="269" xr:uid="{00000000-0005-0000-0000-0000FC000000}"/>
    <cellStyle name="_MultipleSpace_{9.01.01} Project Motorhead Model" xfId="270" xr:uid="{00000000-0005-0000-0000-0000FD000000}"/>
    <cellStyle name="_MultipleSpace_Alamosa Merger" xfId="271" xr:uid="{00000000-0005-0000-0000-0000FE000000}"/>
    <cellStyle name="_MultipleSpace_Alamosa Merger Under Loan Update Final Downside" xfId="272" xr:uid="{00000000-0005-0000-0000-0000FF000000}"/>
    <cellStyle name="_MultipleSpace_Alamosa Merger Under Loan Update Final Downside_Base Case 5.28.2002" xfId="273" xr:uid="{00000000-0005-0000-0000-000000010000}"/>
    <cellStyle name="_MultipleSpace_Alamosa Merger Under Loan Update Final Downside_Bond Chart" xfId="274" xr:uid="{00000000-0005-0000-0000-000001010000}"/>
    <cellStyle name="_MultipleSpace_Alamosa Merger_Base Case 5.28.2002" xfId="275" xr:uid="{00000000-0005-0000-0000-000002010000}"/>
    <cellStyle name="_MultipleSpace_Alamosa Merger_Bond Chart" xfId="276" xr:uid="{00000000-0005-0000-0000-000003010000}"/>
    <cellStyle name="_MultipleSpace_Alamosa Standalone8b" xfId="277" xr:uid="{00000000-0005-0000-0000-000004010000}"/>
    <cellStyle name="_MultipleSpace_Alamosa Standalone8b_Base Case 5.28.2002" xfId="278" xr:uid="{00000000-0005-0000-0000-000005010000}"/>
    <cellStyle name="_MultipleSpace_Alamosa Standalone8b_Bond Chart" xfId="279" xr:uid="{00000000-0005-0000-0000-000006010000}"/>
    <cellStyle name="_MultipleSpace_AVP" xfId="280" xr:uid="{00000000-0005-0000-0000-000007010000}"/>
    <cellStyle name="_MultipleSpace_Biomet Valuation - 4Q10" xfId="281" xr:uid="{00000000-0005-0000-0000-000008010000}"/>
    <cellStyle name="_MultipleSpace_Book1" xfId="282" xr:uid="{00000000-0005-0000-0000-000009010000}"/>
    <cellStyle name="_MultipleSpace_contribution_analysis" xfId="283" xr:uid="{00000000-0005-0000-0000-00000A010000}"/>
    <cellStyle name="_MultipleSpace_CPH LBO Model RAP (4)" xfId="284" xr:uid="{00000000-0005-0000-0000-00000B010000}"/>
    <cellStyle name="_MultipleSpace_dcf" xfId="285" xr:uid="{00000000-0005-0000-0000-00000C010000}"/>
    <cellStyle name="_MultipleSpace_DCF_format" xfId="286" xr:uid="{00000000-0005-0000-0000-00000D010000}"/>
    <cellStyle name="_MultipleSpace_DCF_format_Valerus Financial Model  - COMPANY VERSION 7-1-09 (Barcap v2)" xfId="287" xr:uid="{00000000-0005-0000-0000-00000E010000}"/>
    <cellStyle name="_MultipleSpace_DCF_format_Valerus Financial Model  - COMPANY VERSION 7-1-09 (Barcap v28)" xfId="288" xr:uid="{00000000-0005-0000-0000-00000F010000}"/>
    <cellStyle name="_MultipleSpace_Definitions" xfId="289" xr:uid="{00000000-0005-0000-0000-000010010000}"/>
    <cellStyle name="_New First Follow On Database" xfId="290" xr:uid="{00000000-0005-0000-0000-000011010000}"/>
    <cellStyle name="_p&amp;l_5 yr plan noIPO_covenants" xfId="291" xr:uid="{00000000-0005-0000-0000-000012010000}"/>
    <cellStyle name="_p&amp;l_5 yr plan noIPO_covenants 2" xfId="292" xr:uid="{00000000-0005-0000-0000-000013010000}"/>
    <cellStyle name="_p&amp;l_5 yr plan noIPO_covenants 2_Book5" xfId="293" xr:uid="{00000000-0005-0000-0000-000014010000}"/>
    <cellStyle name="_p&amp;l_5 yr plan noIPO_covenants 2_Book5_AMED Pitch Charts 5-2-05 v2" xfId="294" xr:uid="{00000000-0005-0000-0000-000015010000}"/>
    <cellStyle name="_p&amp;l_5 yr plan noIPO_covenants 2_Book5_HY RVA" xfId="295" xr:uid="{00000000-0005-0000-0000-000016010000}"/>
    <cellStyle name="_p&amp;l_5 yr plan noIPO_covenants 2_Cap Charts v3" xfId="296" xr:uid="{00000000-0005-0000-0000-000017010000}"/>
    <cellStyle name="_p&amp;l_5 yr plan noIPO_covenants 2_Executive Summary Charts" xfId="297" xr:uid="{00000000-0005-0000-0000-000018010000}"/>
    <cellStyle name="_p&amp;l_5 yr plan noIPO_covenants 2_GP Pitch Charts" xfId="298" xr:uid="{00000000-0005-0000-0000-000019010000}"/>
    <cellStyle name="_p&amp;l_5 yr plan noIPO_covenants 2_GP Pitch Charts_HY RVA" xfId="299" xr:uid="{00000000-0005-0000-0000-00001A010000}"/>
    <cellStyle name="_p&amp;l_5 yr plan noIPO_covenants 2_MASTER Midstream Comps 1.19.05" xfId="300" xr:uid="{00000000-0005-0000-0000-00001B010000}"/>
    <cellStyle name="_p&amp;l_5 yr plan noIPO_covenants 2_MASTER Midstream Comps 1.19.05(b)" xfId="301" xr:uid="{00000000-0005-0000-0000-00001C010000}"/>
    <cellStyle name="_p&amp;l_5 yr plan noIPO_covenants 2_MASTER Midstream Comps 1.19.05(b)_HY RVA" xfId="302" xr:uid="{00000000-0005-0000-0000-00001D010000}"/>
    <cellStyle name="_p&amp;l_5 yr plan noIPO_covenants 2_MASTER Midstream Comps 1.19.05_HY RVA" xfId="303" xr:uid="{00000000-0005-0000-0000-00001E010000}"/>
    <cellStyle name="_p&amp;l_5 yr plan noIPO_covenants 2_Unifrax CIM Charts Masterv3" xfId="304" xr:uid="{00000000-0005-0000-0000-00001F010000}"/>
    <cellStyle name="_p&amp;l_5 yr plan noIPO_covenants_Book5" xfId="305" xr:uid="{00000000-0005-0000-0000-000020010000}"/>
    <cellStyle name="_p&amp;l_5 yr plan noIPO_covenants_Book5_AMED Pitch Charts 5-2-05 v2" xfId="306" xr:uid="{00000000-0005-0000-0000-000021010000}"/>
    <cellStyle name="_p&amp;l_5 yr plan noIPO_covenants_Book5_HY RVA" xfId="307" xr:uid="{00000000-0005-0000-0000-000022010000}"/>
    <cellStyle name="_p&amp;l_5 yr plan noIPO_covenants_Cap Charts v3" xfId="308" xr:uid="{00000000-0005-0000-0000-000023010000}"/>
    <cellStyle name="_p&amp;l_5 yr plan noIPO_covenants_Executive Summary Charts" xfId="309" xr:uid="{00000000-0005-0000-0000-000024010000}"/>
    <cellStyle name="_p&amp;l_5 yr plan noIPO_covenants_GP Pitch Charts" xfId="310" xr:uid="{00000000-0005-0000-0000-000025010000}"/>
    <cellStyle name="_p&amp;l_5 yr plan noIPO_covenants_GP Pitch Charts_HY RVA" xfId="311" xr:uid="{00000000-0005-0000-0000-000026010000}"/>
    <cellStyle name="_p&amp;l_5 yr plan noIPO_covenants_MASTER Midstream Comps 1.19.05" xfId="312" xr:uid="{00000000-0005-0000-0000-000027010000}"/>
    <cellStyle name="_p&amp;l_5 yr plan noIPO_covenants_MASTER Midstream Comps 1.19.05(b)" xfId="313" xr:uid="{00000000-0005-0000-0000-000028010000}"/>
    <cellStyle name="_p&amp;l_5 yr plan noIPO_covenants_MASTER Midstream Comps 1.19.05(b)_HY RVA" xfId="314" xr:uid="{00000000-0005-0000-0000-000029010000}"/>
    <cellStyle name="_p&amp;l_5 yr plan noIPO_covenants_MASTER Midstream Comps 1.19.05_HY RVA" xfId="315" xr:uid="{00000000-0005-0000-0000-00002A010000}"/>
    <cellStyle name="_p&amp;l_5 yr plan noIPO_covenants_Unifrax CIM Charts Masterv3" xfId="316" xr:uid="{00000000-0005-0000-0000-00002B010000}"/>
    <cellStyle name="_p&amp;l_6 yr plan noIPO" xfId="317" xr:uid="{00000000-0005-0000-0000-00002C010000}"/>
    <cellStyle name="_p&amp;l_6 yr plan noIPO_Book5" xfId="318" xr:uid="{00000000-0005-0000-0000-00002D010000}"/>
    <cellStyle name="_p&amp;l_6 yr plan noIPO_Book5_AMED Pitch Charts 5-2-05 v2" xfId="319" xr:uid="{00000000-0005-0000-0000-00002E010000}"/>
    <cellStyle name="_p&amp;l_6 yr plan noIPO_Book5_HY RVA" xfId="320" xr:uid="{00000000-0005-0000-0000-00002F010000}"/>
    <cellStyle name="_p&amp;l_6 yr plan noIPO_Cap Charts v3" xfId="321" xr:uid="{00000000-0005-0000-0000-000030010000}"/>
    <cellStyle name="_p&amp;l_6 yr plan noIPO_Executive Summary Charts" xfId="322" xr:uid="{00000000-0005-0000-0000-000031010000}"/>
    <cellStyle name="_p&amp;l_6 yr plan noIPO_GP Pitch Charts" xfId="323" xr:uid="{00000000-0005-0000-0000-000032010000}"/>
    <cellStyle name="_p&amp;l_6 yr plan noIPO_GP Pitch Charts_HY RVA" xfId="324" xr:uid="{00000000-0005-0000-0000-000033010000}"/>
    <cellStyle name="_p&amp;l_6 yr plan noIPO_MASTER Midstream Comps 1.19.05" xfId="325" xr:uid="{00000000-0005-0000-0000-000034010000}"/>
    <cellStyle name="_p&amp;l_6 yr plan noIPO_MASTER Midstream Comps 1.19.05(b)" xfId="326" xr:uid="{00000000-0005-0000-0000-000035010000}"/>
    <cellStyle name="_p&amp;l_6 yr plan noIPO_MASTER Midstream Comps 1.19.05(b)_HY RVA" xfId="327" xr:uid="{00000000-0005-0000-0000-000036010000}"/>
    <cellStyle name="_p&amp;l_6 yr plan noIPO_MASTER Midstream Comps 1.19.05_HY RVA" xfId="328" xr:uid="{00000000-0005-0000-0000-000037010000}"/>
    <cellStyle name="_p&amp;l_6 yr plan noIPO_Unifrax CIM Charts Masterv3" xfId="329" xr:uid="{00000000-0005-0000-0000-000038010000}"/>
    <cellStyle name="_p&amp;l_fully funded IPO" xfId="330" xr:uid="{00000000-0005-0000-0000-000039010000}"/>
    <cellStyle name="_p&amp;l_fully funded IPO 060800" xfId="331" xr:uid="{00000000-0005-0000-0000-00003A010000}"/>
    <cellStyle name="_p&amp;l_fully funded IPO 060800_Book5" xfId="332" xr:uid="{00000000-0005-0000-0000-00003B010000}"/>
    <cellStyle name="_p&amp;l_fully funded IPO 060800_Book5_AMED Pitch Charts 5-2-05 v2" xfId="333" xr:uid="{00000000-0005-0000-0000-00003C010000}"/>
    <cellStyle name="_p&amp;l_fully funded IPO 060800_Book5_HY RVA" xfId="334" xr:uid="{00000000-0005-0000-0000-00003D010000}"/>
    <cellStyle name="_p&amp;l_fully funded IPO 060800_Cap Charts v3" xfId="335" xr:uid="{00000000-0005-0000-0000-00003E010000}"/>
    <cellStyle name="_p&amp;l_fully funded IPO 060800_Executive Summary Charts" xfId="336" xr:uid="{00000000-0005-0000-0000-00003F010000}"/>
    <cellStyle name="_p&amp;l_fully funded IPO 060800_GP Pitch Charts" xfId="337" xr:uid="{00000000-0005-0000-0000-000040010000}"/>
    <cellStyle name="_p&amp;l_fully funded IPO 060800_GP Pitch Charts_HY RVA" xfId="338" xr:uid="{00000000-0005-0000-0000-000041010000}"/>
    <cellStyle name="_p&amp;l_fully funded IPO 060800_MASTER Midstream Comps 1.19.05" xfId="339" xr:uid="{00000000-0005-0000-0000-000042010000}"/>
    <cellStyle name="_p&amp;l_fully funded IPO 060800_MASTER Midstream Comps 1.19.05(b)" xfId="340" xr:uid="{00000000-0005-0000-0000-000043010000}"/>
    <cellStyle name="_p&amp;l_fully funded IPO 060800_MASTER Midstream Comps 1.19.05(b)_HY RVA" xfId="341" xr:uid="{00000000-0005-0000-0000-000044010000}"/>
    <cellStyle name="_p&amp;l_fully funded IPO 060800_MASTER Midstream Comps 1.19.05_HY RVA" xfId="342" xr:uid="{00000000-0005-0000-0000-000045010000}"/>
    <cellStyle name="_p&amp;l_fully funded IPO 060800_Unifrax CIM Charts Masterv3" xfId="343" xr:uid="{00000000-0005-0000-0000-000046010000}"/>
    <cellStyle name="_p&amp;l_fully funded IPO_Book5" xfId="344" xr:uid="{00000000-0005-0000-0000-000047010000}"/>
    <cellStyle name="_p&amp;l_fully funded IPO_Book5_AMED Pitch Charts 5-2-05 v2" xfId="345" xr:uid="{00000000-0005-0000-0000-000048010000}"/>
    <cellStyle name="_p&amp;l_fully funded IPO_Book5_HY RVA" xfId="346" xr:uid="{00000000-0005-0000-0000-000049010000}"/>
    <cellStyle name="_p&amp;l_fully funded IPO_Cap Charts v3" xfId="347" xr:uid="{00000000-0005-0000-0000-00004A010000}"/>
    <cellStyle name="_p&amp;l_fully funded IPO_Executive Summary Charts" xfId="348" xr:uid="{00000000-0005-0000-0000-00004B010000}"/>
    <cellStyle name="_p&amp;l_fully funded IPO_GP Pitch Charts" xfId="349" xr:uid="{00000000-0005-0000-0000-00004C010000}"/>
    <cellStyle name="_p&amp;l_fully funded IPO_GP Pitch Charts_HY RVA" xfId="350" xr:uid="{00000000-0005-0000-0000-00004D010000}"/>
    <cellStyle name="_p&amp;l_fully funded IPO_MASTER Midstream Comps 1.19.05" xfId="351" xr:uid="{00000000-0005-0000-0000-00004E010000}"/>
    <cellStyle name="_p&amp;l_fully funded IPO_MASTER Midstream Comps 1.19.05(b)" xfId="352" xr:uid="{00000000-0005-0000-0000-00004F010000}"/>
    <cellStyle name="_p&amp;l_fully funded IPO_MASTER Midstream Comps 1.19.05(b)_HY RVA" xfId="353" xr:uid="{00000000-0005-0000-0000-000050010000}"/>
    <cellStyle name="_p&amp;l_fully funded IPO_MASTER Midstream Comps 1.19.05_HY RVA" xfId="354" xr:uid="{00000000-0005-0000-0000-000051010000}"/>
    <cellStyle name="_p&amp;l_fully funded IPO_no paris" xfId="355" xr:uid="{00000000-0005-0000-0000-000052010000}"/>
    <cellStyle name="_p&amp;l_fully funded IPO_no paris_Book5" xfId="356" xr:uid="{00000000-0005-0000-0000-000053010000}"/>
    <cellStyle name="_p&amp;l_fully funded IPO_no paris_Book5_AMED Pitch Charts 5-2-05 v2" xfId="357" xr:uid="{00000000-0005-0000-0000-000054010000}"/>
    <cellStyle name="_p&amp;l_fully funded IPO_no paris_Book5_HY RVA" xfId="358" xr:uid="{00000000-0005-0000-0000-000055010000}"/>
    <cellStyle name="_p&amp;l_fully funded IPO_no paris_Cap Charts v3" xfId="359" xr:uid="{00000000-0005-0000-0000-000056010000}"/>
    <cellStyle name="_p&amp;l_fully funded IPO_no paris_Executive Summary Charts" xfId="360" xr:uid="{00000000-0005-0000-0000-000057010000}"/>
    <cellStyle name="_p&amp;l_fully funded IPO_no paris_GP Pitch Charts" xfId="361" xr:uid="{00000000-0005-0000-0000-000058010000}"/>
    <cellStyle name="_p&amp;l_fully funded IPO_no paris_GP Pitch Charts_HY RVA" xfId="362" xr:uid="{00000000-0005-0000-0000-000059010000}"/>
    <cellStyle name="_p&amp;l_fully funded IPO_no paris_MASTER Midstream Comps 1.19.05" xfId="363" xr:uid="{00000000-0005-0000-0000-00005A010000}"/>
    <cellStyle name="_p&amp;l_fully funded IPO_no paris_MASTER Midstream Comps 1.19.05(b)" xfId="364" xr:uid="{00000000-0005-0000-0000-00005B010000}"/>
    <cellStyle name="_p&amp;l_fully funded IPO_no paris_MASTER Midstream Comps 1.19.05(b)_HY RVA" xfId="365" xr:uid="{00000000-0005-0000-0000-00005C010000}"/>
    <cellStyle name="_p&amp;l_fully funded IPO_no paris_MASTER Midstream Comps 1.19.05_HY RVA" xfId="366" xr:uid="{00000000-0005-0000-0000-00005D010000}"/>
    <cellStyle name="_p&amp;l_fully funded IPO_no paris_Unifrax CIM Charts Masterv3" xfId="367" xr:uid="{00000000-0005-0000-0000-00005E010000}"/>
    <cellStyle name="_p&amp;l_fully funded IPO_Unifrax CIM Charts Masterv3" xfId="368" xr:uid="{00000000-0005-0000-0000-00005F010000}"/>
    <cellStyle name="_Percent" xfId="369" xr:uid="{00000000-0005-0000-0000-000060010000}"/>
    <cellStyle name="_Percent_{9.01.01} Project Motorhead Model" xfId="370" xr:uid="{00000000-0005-0000-0000-000061010000}"/>
    <cellStyle name="_Percent_Alamosa Merger" xfId="371" xr:uid="{00000000-0005-0000-0000-000062010000}"/>
    <cellStyle name="_Percent_Alamosa Merger Under Loan Update Final Downside" xfId="372" xr:uid="{00000000-0005-0000-0000-000063010000}"/>
    <cellStyle name="_Percent_Alamosa Standalone8b" xfId="373" xr:uid="{00000000-0005-0000-0000-000064010000}"/>
    <cellStyle name="_Percent_AVP" xfId="374" xr:uid="{00000000-0005-0000-0000-000065010000}"/>
    <cellStyle name="_Percent_Book1" xfId="375" xr:uid="{00000000-0005-0000-0000-000066010000}"/>
    <cellStyle name="_Percent_contribution_analysis" xfId="376" xr:uid="{00000000-0005-0000-0000-000067010000}"/>
    <cellStyle name="_Percent_CPH LBO Model RAP (4)" xfId="377" xr:uid="{00000000-0005-0000-0000-000068010000}"/>
    <cellStyle name="_Percent2Space" xfId="378" xr:uid="{00000000-0005-0000-0000-000069010000}"/>
    <cellStyle name="_PercentSpace" xfId="379" xr:uid="{00000000-0005-0000-0000-00006A010000}"/>
    <cellStyle name="_PercentSpace_{9.01.01} Project Motorhead Model" xfId="380" xr:uid="{00000000-0005-0000-0000-00006B010000}"/>
    <cellStyle name="_PercentSpace_Alamosa Merger" xfId="381" xr:uid="{00000000-0005-0000-0000-00006C010000}"/>
    <cellStyle name="_PercentSpace_Alamosa Merger Under Loan Update Final Downside" xfId="382" xr:uid="{00000000-0005-0000-0000-00006D010000}"/>
    <cellStyle name="_PercentSpace_Alamosa Standalone8b" xfId="383" xr:uid="{00000000-0005-0000-0000-00006E010000}"/>
    <cellStyle name="_PercentSpace_AVP" xfId="384" xr:uid="{00000000-0005-0000-0000-00006F010000}"/>
    <cellStyle name="_PercentSpace_Book1" xfId="385" xr:uid="{00000000-0005-0000-0000-000070010000}"/>
    <cellStyle name="_PercentSpace_contribution_analysis" xfId="386" xr:uid="{00000000-0005-0000-0000-000071010000}"/>
    <cellStyle name="_PercentSpace_CPH LBO Model RAP (4)" xfId="387" xr:uid="{00000000-0005-0000-0000-000072010000}"/>
    <cellStyle name="_PercentSpace_RAP Charts" xfId="388" xr:uid="{00000000-0005-0000-0000-000073010000}"/>
    <cellStyle name="_PPP, Borrowing Base Model, 2007-04, v3" xfId="389" xr:uid="{00000000-0005-0000-0000-000074010000}"/>
    <cellStyle name="_PPP, Borrowing Base Model, 2007-04, v3_Valerus Financial Model  - COMPANY VERSION 7-1-09 (Barcap v2)" xfId="390" xr:uid="{00000000-0005-0000-0000-000075010000}"/>
    <cellStyle name="_PPP, Borrowing Base Model, 2007-04, v3_Valerus Financial Model  - COMPANY VERSION 7-1-09 (Barcap v28)" xfId="391" xr:uid="{00000000-0005-0000-0000-000076010000}"/>
    <cellStyle name="_Projection Summary 9_26-05" xfId="392" xr:uid="{00000000-0005-0000-0000-000077010000}"/>
    <cellStyle name="_Projection Summary 9_26-05 2" xfId="393" xr:uid="{00000000-0005-0000-0000-000078010000}"/>
    <cellStyle name="_PurpleText" xfId="394" xr:uid="{00000000-0005-0000-0000-000079010000}"/>
    <cellStyle name="_RAP Charts" xfId="395" xr:uid="{00000000-0005-0000-0000-00007A010000}"/>
    <cellStyle name="_RHD charts &amp; Tables v.2" xfId="396" xr:uid="{00000000-0005-0000-0000-00007B010000}"/>
    <cellStyle name="_SubHeading" xfId="397" xr:uid="{00000000-0005-0000-0000-00007C010000}"/>
    <cellStyle name="_SubHeading_Definitions" xfId="398" xr:uid="{00000000-0005-0000-0000-00007D010000}"/>
    <cellStyle name="_SubHeading_Luna - Debt paydown" xfId="399" xr:uid="{00000000-0005-0000-0000-00007E010000}"/>
    <cellStyle name="_SubHeading_Net Debt 260609 - 1922 numbers - revised" xfId="400" xr:uid="{00000000-0005-0000-0000-00007F010000}"/>
    <cellStyle name="_SubHeading_NWC" xfId="401" xr:uid="{00000000-0005-0000-0000-000080010000}"/>
    <cellStyle name="_SubHeading_prestemp" xfId="402" xr:uid="{00000000-0005-0000-0000-000081010000}"/>
    <cellStyle name="_SubHeading_prestemp_Valerus Financial Model  - COMPANY VERSION 7-1-09 (Barcap v2)" xfId="403" xr:uid="{00000000-0005-0000-0000-000082010000}"/>
    <cellStyle name="_SubHeading_prestemp_Valerus Financial Model  - COMPANY VERSION 7-1-09 (Barcap v28)" xfId="404" xr:uid="{00000000-0005-0000-0000-000083010000}"/>
    <cellStyle name="_SubHeading_Pyramid research" xfId="405" xr:uid="{00000000-0005-0000-0000-000084010000}"/>
    <cellStyle name="_Table" xfId="406" xr:uid="{00000000-0005-0000-0000-000085010000}"/>
    <cellStyle name="_Table_Biomet Valuation - 4Q10" xfId="407" xr:uid="{00000000-0005-0000-0000-000086010000}"/>
    <cellStyle name="_Table_C2C - Second phase operational modelv-final" xfId="408" xr:uid="{00000000-0005-0000-0000-000087010000}"/>
    <cellStyle name="_Table_C2C - Second phase operational modelv-final_Luna - Debt paydown" xfId="409" xr:uid="{00000000-0005-0000-0000-000088010000}"/>
    <cellStyle name="_Table_C2C - Second phase operational modelv-final_Net Debt 260609 - 1922 numbers - revised" xfId="410" xr:uid="{00000000-0005-0000-0000-000089010000}"/>
    <cellStyle name="_Table_C2C - Second phase operational modelv-final_NWC" xfId="411" xr:uid="{00000000-0005-0000-0000-00008A010000}"/>
    <cellStyle name="_Table_Definitions" xfId="412" xr:uid="{00000000-0005-0000-0000-00008B010000}"/>
    <cellStyle name="_Table_Definitions_C2C - Second phase operational modelv-final" xfId="413" xr:uid="{00000000-0005-0000-0000-00008C010000}"/>
    <cellStyle name="_Table_Definitions_C2C - Second phase operational modelv-final_Luna - Debt paydown" xfId="414" xr:uid="{00000000-0005-0000-0000-00008D010000}"/>
    <cellStyle name="_Table_Definitions_C2C - Second phase operational modelv-final_Net Debt 260609 - 1922 numbers - revised" xfId="415" xr:uid="{00000000-0005-0000-0000-00008E010000}"/>
    <cellStyle name="_Table_Definitions_C2C - Second phase operational modelv-final_NWC" xfId="416" xr:uid="{00000000-0005-0000-0000-00008F010000}"/>
    <cellStyle name="_TableColHeadBlue" xfId="417" xr:uid="{00000000-0005-0000-0000-000090010000}"/>
    <cellStyle name="_TableHead" xfId="418" xr:uid="{00000000-0005-0000-0000-000091010000}"/>
    <cellStyle name="_TableHead_Biomet Valuation - 4Q10" xfId="419" xr:uid="{00000000-0005-0000-0000-000092010000}"/>
    <cellStyle name="_TableHead_C2C - Second phase operational modelv-final" xfId="420" xr:uid="{00000000-0005-0000-0000-000093010000}"/>
    <cellStyle name="_TableHead_C2C - Second phase operational modelv-final_Luna - Debt paydown" xfId="421" xr:uid="{00000000-0005-0000-0000-000094010000}"/>
    <cellStyle name="_TableHead_C2C - Second phase operational modelv-final_Net Debt 260609 - 1922 numbers - revised" xfId="422" xr:uid="{00000000-0005-0000-0000-000095010000}"/>
    <cellStyle name="_TableHead_C2C - Second phase operational modelv-final_NWC" xfId="423" xr:uid="{00000000-0005-0000-0000-000096010000}"/>
    <cellStyle name="_TableHead_Definitions" xfId="424" xr:uid="{00000000-0005-0000-0000-000097010000}"/>
    <cellStyle name="_TableHead_Definitions_C2C - Second phase operational modelv-final" xfId="425" xr:uid="{00000000-0005-0000-0000-000098010000}"/>
    <cellStyle name="_TableHead_Definitions_C2C - Second phase operational modelv-final_Luna - Debt paydown" xfId="426" xr:uid="{00000000-0005-0000-0000-000099010000}"/>
    <cellStyle name="_TableHead_Definitions_C2C - Second phase operational modelv-final_Net Debt 260609 - 1922 numbers - revised" xfId="427" xr:uid="{00000000-0005-0000-0000-00009A010000}"/>
    <cellStyle name="_TableHead_Definitions_C2C - Second phase operational modelv-final_NWC" xfId="428" xr:uid="{00000000-0005-0000-0000-00009B010000}"/>
    <cellStyle name="_TableHead_Luna - Debt paydown" xfId="429" xr:uid="{00000000-0005-0000-0000-00009C010000}"/>
    <cellStyle name="_TableHead_Net Debt 260609 - 1922 numbers - revised" xfId="430" xr:uid="{00000000-0005-0000-0000-00009D010000}"/>
    <cellStyle name="_TableHead_NWC" xfId="431" xr:uid="{00000000-0005-0000-0000-00009E010000}"/>
    <cellStyle name="_TableHead_Pyramid research" xfId="432" xr:uid="{00000000-0005-0000-0000-00009F010000}"/>
    <cellStyle name="_TableHead_Pyramid research_C2C - Second phase operational modelv-final" xfId="433" xr:uid="{00000000-0005-0000-0000-0000A0010000}"/>
    <cellStyle name="_TableHead_Pyramid research_C2C - Second phase operational modelv-final_Luna - Debt paydown" xfId="434" xr:uid="{00000000-0005-0000-0000-0000A1010000}"/>
    <cellStyle name="_TableHead_Pyramid research_C2C - Second phase operational modelv-final_Net Debt 260609 - 1922 numbers - revised" xfId="435" xr:uid="{00000000-0005-0000-0000-0000A2010000}"/>
    <cellStyle name="_TableHead_Pyramid research_C2C - Second phase operational modelv-final_NWC" xfId="436" xr:uid="{00000000-0005-0000-0000-0000A3010000}"/>
    <cellStyle name="_TableRowHead" xfId="437" xr:uid="{00000000-0005-0000-0000-0000A4010000}"/>
    <cellStyle name="_TableRowHead_Definitions" xfId="438" xr:uid="{00000000-0005-0000-0000-0000A5010000}"/>
    <cellStyle name="_TableRowHead_Luna - Debt paydown" xfId="439" xr:uid="{00000000-0005-0000-0000-0000A6010000}"/>
    <cellStyle name="_TableRowHead_Net Debt 260609 - 1922 numbers - revised" xfId="440" xr:uid="{00000000-0005-0000-0000-0000A7010000}"/>
    <cellStyle name="_TableRowHead_NWC" xfId="441" xr:uid="{00000000-0005-0000-0000-0000A8010000}"/>
    <cellStyle name="_TableRowHead_Pyramid research" xfId="442" xr:uid="{00000000-0005-0000-0000-0000A9010000}"/>
    <cellStyle name="_TableRowHeadBlue" xfId="443" xr:uid="{00000000-0005-0000-0000-0000AA010000}"/>
    <cellStyle name="_TableSuperHead" xfId="444" xr:uid="{00000000-0005-0000-0000-0000AB010000}"/>
    <cellStyle name="_TableSuperHead_Definitions" xfId="445" xr:uid="{00000000-0005-0000-0000-0000AC010000}"/>
    <cellStyle name="_TableSuperHead_LPL Valuation - 2Q10" xfId="446" xr:uid="{00000000-0005-0000-0000-0000AD010000}"/>
    <cellStyle name="_TableSuperHead_PM Model_Master" xfId="447" xr:uid="{00000000-0005-0000-0000-0000AE010000}"/>
    <cellStyle name="_TableSuperHead_Sabre Valuation - 2Q10_DRAFT_v2" xfId="448" xr:uid="{00000000-0005-0000-0000-0000AF010000}"/>
    <cellStyle name="_TableText" xfId="449" xr:uid="{00000000-0005-0000-0000-0000B0010000}"/>
    <cellStyle name="_TableTextBold" xfId="450" xr:uid="{00000000-0005-0000-0000-0000B1010000}"/>
    <cellStyle name="_Targa Backup0306" xfId="451" xr:uid="{00000000-0005-0000-0000-0000B2010000}"/>
    <cellStyle name="_Term Sheet RES" xfId="452" xr:uid="{00000000-0005-0000-0000-0000B3010000}"/>
    <cellStyle name="_Termsheet 7-22-04" xfId="453" xr:uid="{00000000-0005-0000-0000-0000B4010000}"/>
    <cellStyle name="_TRA Chart" xfId="454" xr:uid="{00000000-0005-0000-0000-0000B5010000}"/>
    <cellStyle name="_UCO_MLP Cap Tables_5-2006 v11 (2)" xfId="455" xr:uid="{00000000-0005-0000-0000-0000B6010000}"/>
    <cellStyle name="_Unifrax CIM Charts Masterv3" xfId="456" xr:uid="{00000000-0005-0000-0000-0000B7010000}"/>
    <cellStyle name="_WaveModel_081002 V42" xfId="457" xr:uid="{00000000-0005-0000-0000-0000B8010000}"/>
    <cellStyle name="_WaveModel_081002 V42 - Including JPM WF" xfId="458" xr:uid="{00000000-0005-0000-0000-0000B9010000}"/>
    <cellStyle name="_Whiting CAM inserts_AUG 2005_v10" xfId="459" xr:uid="{00000000-0005-0000-0000-0000BA010000}"/>
    <cellStyle name="_Worksheet in (C) 5341" xfId="460" xr:uid="{00000000-0005-0000-0000-0000BB010000}"/>
    <cellStyle name="_Worksheet in 6351" xfId="461" xr:uid="{00000000-0005-0000-0000-0000BC010000}"/>
    <cellStyle name="_Данные для Кирилла" xfId="462" xr:uid="{00000000-0005-0000-0000-0000BD010000}"/>
    <cellStyle name="’Ê‰Ý [0.00]_GE 3 MINIMUM" xfId="463" xr:uid="{00000000-0005-0000-0000-0000BE010000}"/>
    <cellStyle name="’Ê‰Ý_GE 3 MINIMUM" xfId="464" xr:uid="{00000000-0005-0000-0000-0000BF010000}"/>
    <cellStyle name="”ќђќ‘ћ‚›‰" xfId="465" xr:uid="{00000000-0005-0000-0000-0000C0010000}"/>
    <cellStyle name="”љ‘ђћ‚ђќќ›‰" xfId="466" xr:uid="{00000000-0005-0000-0000-0000C1010000}"/>
    <cellStyle name="„…ќ…†ќ›‰" xfId="467" xr:uid="{00000000-0005-0000-0000-0000C2010000}"/>
    <cellStyle name="£ BP" xfId="468" xr:uid="{00000000-0005-0000-0000-0000C3010000}"/>
    <cellStyle name="¥ JY" xfId="469" xr:uid="{00000000-0005-0000-0000-0000C4010000}"/>
    <cellStyle name="=C:\WINNT\SYSTEM32\COMMAND.COM" xfId="470" xr:uid="{00000000-0005-0000-0000-0000C5010000}"/>
    <cellStyle name="=C:\WINNT35\SYSTEM32\COMMAND.COM" xfId="471" xr:uid="{00000000-0005-0000-0000-0000C6010000}"/>
    <cellStyle name="=D:\WINNT\SYSTEM32\COMMAND.COM" xfId="16" xr:uid="{00000000-0005-0000-0000-0000C7010000}"/>
    <cellStyle name="=D:\WINNT\SYSTEM32\COMMAND.COM 2" xfId="472" xr:uid="{00000000-0005-0000-0000-0000C8010000}"/>
    <cellStyle name="§Q\?1@" xfId="473" xr:uid="{00000000-0005-0000-0000-0000C9010000}"/>
    <cellStyle name="‡ђѓћ‹ћ‚ћљ1" xfId="474" xr:uid="{00000000-0005-0000-0000-0000CA010000}"/>
    <cellStyle name="‡ђѓћ‹ћ‚ћљ2" xfId="475" xr:uid="{00000000-0005-0000-0000-0000CB010000}"/>
    <cellStyle name="•W€_GE 3 MINIMUM" xfId="476" xr:uid="{00000000-0005-0000-0000-0000CC010000}"/>
    <cellStyle name="•W_GE 3 MINIMUM" xfId="477" xr:uid="{00000000-0005-0000-0000-0000CD010000}"/>
    <cellStyle name="’ћѓћ‚›‰" xfId="478" xr:uid="{00000000-0005-0000-0000-0000CE010000}"/>
    <cellStyle name="0" xfId="479" xr:uid="{00000000-0005-0000-0000-0000CF010000}"/>
    <cellStyle name="0%" xfId="480" xr:uid="{00000000-0005-0000-0000-0000D0010000}"/>
    <cellStyle name="0% 2" xfId="481" xr:uid="{00000000-0005-0000-0000-0000D1010000}"/>
    <cellStyle name="0,0" xfId="482" xr:uid="{00000000-0005-0000-0000-0000D2010000}"/>
    <cellStyle name="0,0 2" xfId="483" xr:uid="{00000000-0005-0000-0000-0000D3010000}"/>
    <cellStyle name="0,00" xfId="484" xr:uid="{00000000-0005-0000-0000-0000D4010000}"/>
    <cellStyle name="0.0" xfId="485" xr:uid="{00000000-0005-0000-0000-0000D5010000}"/>
    <cellStyle name="0.0%" xfId="486" xr:uid="{00000000-0005-0000-0000-0000D6010000}"/>
    <cellStyle name="0.0_Comcast CATV Segment 11.19.03 (Sensitivity)" xfId="487" xr:uid="{00000000-0005-0000-0000-0000D7010000}"/>
    <cellStyle name="0.00" xfId="488" xr:uid="{00000000-0005-0000-0000-0000D8010000}"/>
    <cellStyle name="0.00%" xfId="489" xr:uid="{00000000-0005-0000-0000-0000D9010000}"/>
    <cellStyle name="0_Biomet Valuation - 4Q10" xfId="490" xr:uid="{00000000-0005-0000-0000-0000DA010000}"/>
    <cellStyle name="0_BP2" xfId="491" xr:uid="{00000000-0005-0000-0000-0000DB010000}"/>
    <cellStyle name="0_BP3" xfId="492" xr:uid="{00000000-0005-0000-0000-0000DC010000}"/>
    <cellStyle name="0_Comcast CATV Segment 11.19.03 (Sensitivity)" xfId="493" xr:uid="{00000000-0005-0000-0000-0000DD010000}"/>
    <cellStyle name="0_Comcast CATV Segment 11.19.03 (Sub)" xfId="494" xr:uid="{00000000-0005-0000-0000-0000DE010000}"/>
    <cellStyle name="0_Kimono v16" xfId="495" xr:uid="{00000000-0005-0000-0000-0000DF010000}"/>
    <cellStyle name="0000" xfId="496" xr:uid="{00000000-0005-0000-0000-0000E0010000}"/>
    <cellStyle name="000000" xfId="497" xr:uid="{00000000-0005-0000-0000-0000E1010000}"/>
    <cellStyle name="0dp" xfId="498" xr:uid="{00000000-0005-0000-0000-0000E2010000}"/>
    <cellStyle name="1" xfId="499" xr:uid="{00000000-0005-0000-0000-0000E3010000}"/>
    <cellStyle name="1," xfId="500" xr:uid="{00000000-0005-0000-0000-0000E4010000}"/>
    <cellStyle name="1, 2" xfId="501" xr:uid="{00000000-0005-0000-0000-0000E5010000}"/>
    <cellStyle name="1_BB_ChartsandTables_Oct05_v1" xfId="502" xr:uid="{00000000-0005-0000-0000-0000E6010000}"/>
    <cellStyle name="1_BBChartsandTables-1(dallas)" xfId="503" xr:uid="{00000000-0005-0000-0000-0000E7010000}"/>
    <cellStyle name="1_Biomet Valuation - 4Q10" xfId="504" xr:uid="{00000000-0005-0000-0000-0000E8010000}"/>
    <cellStyle name="1_RRC BB Review Dec 2004 - Inserts" xfId="505" xr:uid="{00000000-0005-0000-0000-0000E9010000}"/>
    <cellStyle name="1_RRC BB Review Dec 2004 - Inserts_Valerus Financial Model  - COMPANY VERSION 7-1-09 (Barcap v2)" xfId="506" xr:uid="{00000000-0005-0000-0000-0000EA010000}"/>
    <cellStyle name="1_RRC BB Review Dec 2004 - Inserts_Valerus Financial Model  - COMPANY VERSION 7-1-09 (Barcap v28)" xfId="507" xr:uid="{00000000-0005-0000-0000-0000EB010000}"/>
    <cellStyle name="1_RRC_Generic Charts_12-31-04" xfId="508" xr:uid="{00000000-0005-0000-0000-0000EC010000}"/>
    <cellStyle name="1_RRC_Generic Charts_6-30-05" xfId="509" xr:uid="{00000000-0005-0000-0000-0000ED010000}"/>
    <cellStyle name="1_Valerus Financial Model  - COMPANY VERSION 7-1-09 (Barcap v2)" xfId="510" xr:uid="{00000000-0005-0000-0000-0000EE010000}"/>
    <cellStyle name="1_Valerus Financial Model  - COMPANY VERSION 7-1-09 (Barcap v28)" xfId="511" xr:uid="{00000000-0005-0000-0000-0000EF010000}"/>
    <cellStyle name="10" xfId="512" xr:uid="{00000000-0005-0000-0000-0000F0010000}"/>
    <cellStyle name="1000-sep_Ark1" xfId="513" xr:uid="{00000000-0005-0000-0000-0000F1010000}"/>
    <cellStyle name="1000-sep+,00_Slideshow" xfId="514" xr:uid="{00000000-0005-0000-0000-0000F2010000}"/>
    <cellStyle name="12" xfId="515" xr:uid="{00000000-0005-0000-0000-0000F3010000}"/>
    <cellStyle name="14" xfId="516" xr:uid="{00000000-0005-0000-0000-0000F4010000}"/>
    <cellStyle name="18" xfId="517" xr:uid="{00000000-0005-0000-0000-0000F5010000}"/>
    <cellStyle name="1p" xfId="518" xr:uid="{00000000-0005-0000-0000-0000F6010000}"/>
    <cellStyle name="1u" xfId="519" xr:uid="{00000000-0005-0000-0000-0000F7010000}"/>
    <cellStyle name="2," xfId="520" xr:uid="{00000000-0005-0000-0000-0000F8010000}"/>
    <cellStyle name="20% - Accent1 2" xfId="28294" xr:uid="{00000000-0005-0000-0000-0000F9010000}"/>
    <cellStyle name="20% - Accent4 2" xfId="28295" xr:uid="{00000000-0005-0000-0000-0000FA010000}"/>
    <cellStyle name="20% - Акцент1 2" xfId="521" xr:uid="{00000000-0005-0000-0000-0000FB010000}"/>
    <cellStyle name="20% - Акцент2 2" xfId="522" xr:uid="{00000000-0005-0000-0000-0000FC010000}"/>
    <cellStyle name="20% - Акцент3 2" xfId="523" xr:uid="{00000000-0005-0000-0000-0000FD010000}"/>
    <cellStyle name="20% - Акцент4 2" xfId="524" xr:uid="{00000000-0005-0000-0000-0000FE010000}"/>
    <cellStyle name="20% - Акцент5 2" xfId="525" xr:uid="{00000000-0005-0000-0000-0000FF010000}"/>
    <cellStyle name="20% - Акцент6 2" xfId="526" xr:uid="{00000000-0005-0000-0000-000000020000}"/>
    <cellStyle name="24" xfId="527" xr:uid="{00000000-0005-0000-0000-000001020000}"/>
    <cellStyle name="3" xfId="528" xr:uid="{00000000-0005-0000-0000-000002020000}"/>
    <cellStyle name="3_ATD Valuation - 3Q10 v30" xfId="529" xr:uid="{00000000-0005-0000-0000-000003020000}"/>
    <cellStyle name="3_ATD Valuation - 4Q10 v7 FOP only" xfId="530" xr:uid="{00000000-0005-0000-0000-000004020000}"/>
    <cellStyle name="3_Book1" xfId="531" xr:uid="{00000000-0005-0000-0000-000005020000}"/>
    <cellStyle name="3_Lenta Valuation - 4Q10" xfId="532" xr:uid="{00000000-0005-0000-0000-000006020000}"/>
    <cellStyle name="40% - Акцент1 2" xfId="533" xr:uid="{00000000-0005-0000-0000-000007020000}"/>
    <cellStyle name="40% - Акцент2 2" xfId="534" xr:uid="{00000000-0005-0000-0000-000008020000}"/>
    <cellStyle name="40% - Акцент3 2" xfId="535" xr:uid="{00000000-0005-0000-0000-000009020000}"/>
    <cellStyle name="40% - Акцент4 2" xfId="536" xr:uid="{00000000-0005-0000-0000-00000A020000}"/>
    <cellStyle name="40% - Акцент5 2" xfId="537" xr:uid="{00000000-0005-0000-0000-00000B020000}"/>
    <cellStyle name="40% - Акцент6 2" xfId="538" xr:uid="{00000000-0005-0000-0000-00000C020000}"/>
    <cellStyle name="60% - Акцент1 2" xfId="539" xr:uid="{00000000-0005-0000-0000-00000D020000}"/>
    <cellStyle name="60% - Акцент2 2" xfId="540" xr:uid="{00000000-0005-0000-0000-00000E020000}"/>
    <cellStyle name="60% - Акцент3 2" xfId="541" xr:uid="{00000000-0005-0000-0000-00000F020000}"/>
    <cellStyle name="60% - Акцент4 2" xfId="542" xr:uid="{00000000-0005-0000-0000-000010020000}"/>
    <cellStyle name="60% - Акцент5 2" xfId="543" xr:uid="{00000000-0005-0000-0000-000011020000}"/>
    <cellStyle name="60% - Акцент6 2" xfId="544" xr:uid="{00000000-0005-0000-0000-000012020000}"/>
    <cellStyle name="6mal" xfId="545" xr:uid="{00000000-0005-0000-0000-000013020000}"/>
    <cellStyle name="752131" xfId="546" xr:uid="{00000000-0005-0000-0000-000014020000}"/>
    <cellStyle name="9" xfId="547" xr:uid="{00000000-0005-0000-0000-000015020000}"/>
    <cellStyle name="a" xfId="548" xr:uid="{00000000-0005-0000-0000-000016020000}"/>
    <cellStyle name="a_Entities " xfId="549" xr:uid="{00000000-0005-0000-0000-000017020000}"/>
    <cellStyle name="a_Entities _C2C - Second phase operational modelv-final" xfId="550" xr:uid="{00000000-0005-0000-0000-000018020000}"/>
    <cellStyle name="a_Entities _C2C - Second phase operational modelv-final_Luna - Debt paydown" xfId="551" xr:uid="{00000000-0005-0000-0000-000019020000}"/>
    <cellStyle name="a_Entities _C2C - Second phase operational modelv-final_Net Debt 260609 - 1922 numbers - revised" xfId="552" xr:uid="{00000000-0005-0000-0000-00001A020000}"/>
    <cellStyle name="a_Entities _C2C - Second phase operational modelv-final_NWC" xfId="553" xr:uid="{00000000-0005-0000-0000-00001B020000}"/>
    <cellStyle name="a1" xfId="554" xr:uid="{00000000-0005-0000-0000-00001C020000}"/>
    <cellStyle name="aa" xfId="555" xr:uid="{00000000-0005-0000-0000-00001D020000}"/>
    <cellStyle name="aa 2" xfId="28203" xr:uid="{00000000-0005-0000-0000-00001E020000}"/>
    <cellStyle name="ac" xfId="556" xr:uid="{00000000-0005-0000-0000-00001F020000}"/>
    <cellStyle name="Accent1 - 20%" xfId="557" xr:uid="{00000000-0005-0000-0000-000020020000}"/>
    <cellStyle name="Accent1 - 20% 2" xfId="558" xr:uid="{00000000-0005-0000-0000-000021020000}"/>
    <cellStyle name="Accent1 - 40%" xfId="559" xr:uid="{00000000-0005-0000-0000-000022020000}"/>
    <cellStyle name="Accent1 - 40% 2" xfId="560" xr:uid="{00000000-0005-0000-0000-000023020000}"/>
    <cellStyle name="Accent1 - 60%" xfId="561" xr:uid="{00000000-0005-0000-0000-000024020000}"/>
    <cellStyle name="Accent1 - 60% 2" xfId="562" xr:uid="{00000000-0005-0000-0000-000025020000}"/>
    <cellStyle name="Accent1 10" xfId="563" xr:uid="{00000000-0005-0000-0000-000026020000}"/>
    <cellStyle name="Accent1 11" xfId="564" xr:uid="{00000000-0005-0000-0000-000027020000}"/>
    <cellStyle name="Accent1 12" xfId="565" xr:uid="{00000000-0005-0000-0000-000028020000}"/>
    <cellStyle name="Accent1 13" xfId="566" xr:uid="{00000000-0005-0000-0000-000029020000}"/>
    <cellStyle name="Accent1 14" xfId="567" xr:uid="{00000000-0005-0000-0000-00002A020000}"/>
    <cellStyle name="Accent1 15" xfId="568" xr:uid="{00000000-0005-0000-0000-00002B020000}"/>
    <cellStyle name="Accent1 16" xfId="569" xr:uid="{00000000-0005-0000-0000-00002C020000}"/>
    <cellStyle name="Accent1 17" xfId="570" xr:uid="{00000000-0005-0000-0000-00002D020000}"/>
    <cellStyle name="Accent1 18" xfId="571" xr:uid="{00000000-0005-0000-0000-00002E020000}"/>
    <cellStyle name="Accent1 19" xfId="572" xr:uid="{00000000-0005-0000-0000-00002F020000}"/>
    <cellStyle name="Accent1 2" xfId="573" xr:uid="{00000000-0005-0000-0000-000030020000}"/>
    <cellStyle name="Accent1 20" xfId="574" xr:uid="{00000000-0005-0000-0000-000031020000}"/>
    <cellStyle name="Accent1 21" xfId="575" xr:uid="{00000000-0005-0000-0000-000032020000}"/>
    <cellStyle name="Accent1 22" xfId="576" xr:uid="{00000000-0005-0000-0000-000033020000}"/>
    <cellStyle name="Accent1 23" xfId="577" xr:uid="{00000000-0005-0000-0000-000034020000}"/>
    <cellStyle name="Accent1 24" xfId="578" xr:uid="{00000000-0005-0000-0000-000035020000}"/>
    <cellStyle name="Accent1 25" xfId="579" xr:uid="{00000000-0005-0000-0000-000036020000}"/>
    <cellStyle name="Accent1 26" xfId="580" xr:uid="{00000000-0005-0000-0000-000037020000}"/>
    <cellStyle name="Accent1 27" xfId="581" xr:uid="{00000000-0005-0000-0000-000038020000}"/>
    <cellStyle name="Accent1 28" xfId="582" xr:uid="{00000000-0005-0000-0000-000039020000}"/>
    <cellStyle name="Accent1 29" xfId="583" xr:uid="{00000000-0005-0000-0000-00003A020000}"/>
    <cellStyle name="Accent1 3" xfId="584" xr:uid="{00000000-0005-0000-0000-00003B020000}"/>
    <cellStyle name="Accent1 30" xfId="585" xr:uid="{00000000-0005-0000-0000-00003C020000}"/>
    <cellStyle name="Accent1 31" xfId="586" xr:uid="{00000000-0005-0000-0000-00003D020000}"/>
    <cellStyle name="Accent1 32" xfId="587" xr:uid="{00000000-0005-0000-0000-00003E020000}"/>
    <cellStyle name="Accent1 33" xfId="588" xr:uid="{00000000-0005-0000-0000-00003F020000}"/>
    <cellStyle name="Accent1 34" xfId="589" xr:uid="{00000000-0005-0000-0000-000040020000}"/>
    <cellStyle name="Accent1 35" xfId="590" xr:uid="{00000000-0005-0000-0000-000041020000}"/>
    <cellStyle name="Accent1 36" xfId="591" xr:uid="{00000000-0005-0000-0000-000042020000}"/>
    <cellStyle name="Accent1 37" xfId="592" xr:uid="{00000000-0005-0000-0000-000043020000}"/>
    <cellStyle name="Accent1 38" xfId="593" xr:uid="{00000000-0005-0000-0000-000044020000}"/>
    <cellStyle name="Accent1 39" xfId="594" xr:uid="{00000000-0005-0000-0000-000045020000}"/>
    <cellStyle name="Accent1 4" xfId="595" xr:uid="{00000000-0005-0000-0000-000046020000}"/>
    <cellStyle name="Accent1 40" xfId="596" xr:uid="{00000000-0005-0000-0000-000047020000}"/>
    <cellStyle name="Accent1 41" xfId="597" xr:uid="{00000000-0005-0000-0000-000048020000}"/>
    <cellStyle name="Accent1 42" xfId="598" xr:uid="{00000000-0005-0000-0000-000049020000}"/>
    <cellStyle name="Accent1 43" xfId="599" xr:uid="{00000000-0005-0000-0000-00004A020000}"/>
    <cellStyle name="Accent1 44" xfId="600" xr:uid="{00000000-0005-0000-0000-00004B020000}"/>
    <cellStyle name="Accent1 45" xfId="601" xr:uid="{00000000-0005-0000-0000-00004C020000}"/>
    <cellStyle name="Accent1 46" xfId="602" xr:uid="{00000000-0005-0000-0000-00004D020000}"/>
    <cellStyle name="Accent1 47" xfId="603" xr:uid="{00000000-0005-0000-0000-00004E020000}"/>
    <cellStyle name="Accent1 48" xfId="604" xr:uid="{00000000-0005-0000-0000-00004F020000}"/>
    <cellStyle name="Accent1 49" xfId="605" xr:uid="{00000000-0005-0000-0000-000050020000}"/>
    <cellStyle name="Accent1 5" xfId="606" xr:uid="{00000000-0005-0000-0000-000051020000}"/>
    <cellStyle name="Accent1 50" xfId="607" xr:uid="{00000000-0005-0000-0000-000052020000}"/>
    <cellStyle name="Accent1 51" xfId="608" xr:uid="{00000000-0005-0000-0000-000053020000}"/>
    <cellStyle name="Accent1 52" xfId="609" xr:uid="{00000000-0005-0000-0000-000054020000}"/>
    <cellStyle name="Accent1 53" xfId="610" xr:uid="{00000000-0005-0000-0000-000055020000}"/>
    <cellStyle name="Accent1 54" xfId="611" xr:uid="{00000000-0005-0000-0000-000056020000}"/>
    <cellStyle name="Accent1 55" xfId="612" xr:uid="{00000000-0005-0000-0000-000057020000}"/>
    <cellStyle name="Accent1 56" xfId="613" xr:uid="{00000000-0005-0000-0000-000058020000}"/>
    <cellStyle name="Accent1 57" xfId="614" xr:uid="{00000000-0005-0000-0000-000059020000}"/>
    <cellStyle name="Accent1 58" xfId="615" xr:uid="{00000000-0005-0000-0000-00005A020000}"/>
    <cellStyle name="Accent1 59" xfId="616" xr:uid="{00000000-0005-0000-0000-00005B020000}"/>
    <cellStyle name="Accent1 6" xfId="617" xr:uid="{00000000-0005-0000-0000-00005C020000}"/>
    <cellStyle name="Accent1 60" xfId="618" xr:uid="{00000000-0005-0000-0000-00005D020000}"/>
    <cellStyle name="Accent1 61" xfId="619" xr:uid="{00000000-0005-0000-0000-00005E020000}"/>
    <cellStyle name="Accent1 62" xfId="620" xr:uid="{00000000-0005-0000-0000-00005F020000}"/>
    <cellStyle name="Accent1 63" xfId="621" xr:uid="{00000000-0005-0000-0000-000060020000}"/>
    <cellStyle name="Accent1 64" xfId="622" xr:uid="{00000000-0005-0000-0000-000061020000}"/>
    <cellStyle name="Accent1 65" xfId="623" xr:uid="{00000000-0005-0000-0000-000062020000}"/>
    <cellStyle name="Accent1 66" xfId="624" xr:uid="{00000000-0005-0000-0000-000063020000}"/>
    <cellStyle name="Accent1 67" xfId="625" xr:uid="{00000000-0005-0000-0000-000064020000}"/>
    <cellStyle name="Accent1 68" xfId="626" xr:uid="{00000000-0005-0000-0000-000065020000}"/>
    <cellStyle name="Accent1 69" xfId="627" xr:uid="{00000000-0005-0000-0000-000066020000}"/>
    <cellStyle name="Accent1 7" xfId="628" xr:uid="{00000000-0005-0000-0000-000067020000}"/>
    <cellStyle name="Accent1 70" xfId="629" xr:uid="{00000000-0005-0000-0000-000068020000}"/>
    <cellStyle name="Accent1 71" xfId="630" xr:uid="{00000000-0005-0000-0000-000069020000}"/>
    <cellStyle name="Accent1 72" xfId="631" xr:uid="{00000000-0005-0000-0000-00006A020000}"/>
    <cellStyle name="Accent1 73" xfId="632" xr:uid="{00000000-0005-0000-0000-00006B020000}"/>
    <cellStyle name="Accent1 74" xfId="633" xr:uid="{00000000-0005-0000-0000-00006C020000}"/>
    <cellStyle name="Accent1 75" xfId="634" xr:uid="{00000000-0005-0000-0000-00006D020000}"/>
    <cellStyle name="Accent1 76" xfId="635" xr:uid="{00000000-0005-0000-0000-00006E020000}"/>
    <cellStyle name="Accent1 77" xfId="636" xr:uid="{00000000-0005-0000-0000-00006F020000}"/>
    <cellStyle name="Accent1 78" xfId="637" xr:uid="{00000000-0005-0000-0000-000070020000}"/>
    <cellStyle name="Accent1 79" xfId="638" xr:uid="{00000000-0005-0000-0000-000071020000}"/>
    <cellStyle name="Accent1 8" xfId="639" xr:uid="{00000000-0005-0000-0000-000072020000}"/>
    <cellStyle name="Accent1 80" xfId="640" xr:uid="{00000000-0005-0000-0000-000073020000}"/>
    <cellStyle name="Accent1 9" xfId="641" xr:uid="{00000000-0005-0000-0000-000074020000}"/>
    <cellStyle name="Accent2 - 20%" xfId="642" xr:uid="{00000000-0005-0000-0000-000075020000}"/>
    <cellStyle name="Accent2 - 20% 2" xfId="643" xr:uid="{00000000-0005-0000-0000-000076020000}"/>
    <cellStyle name="Accent2 - 40%" xfId="644" xr:uid="{00000000-0005-0000-0000-000077020000}"/>
    <cellStyle name="Accent2 - 40% 2" xfId="645" xr:uid="{00000000-0005-0000-0000-000078020000}"/>
    <cellStyle name="Accent2 - 60%" xfId="646" xr:uid="{00000000-0005-0000-0000-000079020000}"/>
    <cellStyle name="Accent2 - 60% 2" xfId="647" xr:uid="{00000000-0005-0000-0000-00007A020000}"/>
    <cellStyle name="Accent2 10" xfId="648" xr:uid="{00000000-0005-0000-0000-00007B020000}"/>
    <cellStyle name="Accent2 11" xfId="649" xr:uid="{00000000-0005-0000-0000-00007C020000}"/>
    <cellStyle name="Accent2 12" xfId="650" xr:uid="{00000000-0005-0000-0000-00007D020000}"/>
    <cellStyle name="Accent2 13" xfId="651" xr:uid="{00000000-0005-0000-0000-00007E020000}"/>
    <cellStyle name="Accent2 14" xfId="652" xr:uid="{00000000-0005-0000-0000-00007F020000}"/>
    <cellStyle name="Accent2 15" xfId="653" xr:uid="{00000000-0005-0000-0000-000080020000}"/>
    <cellStyle name="Accent2 16" xfId="654" xr:uid="{00000000-0005-0000-0000-000081020000}"/>
    <cellStyle name="Accent2 17" xfId="655" xr:uid="{00000000-0005-0000-0000-000082020000}"/>
    <cellStyle name="Accent2 18" xfId="656" xr:uid="{00000000-0005-0000-0000-000083020000}"/>
    <cellStyle name="Accent2 19" xfId="657" xr:uid="{00000000-0005-0000-0000-000084020000}"/>
    <cellStyle name="Accent2 2" xfId="658" xr:uid="{00000000-0005-0000-0000-000085020000}"/>
    <cellStyle name="Accent2 20" xfId="659" xr:uid="{00000000-0005-0000-0000-000086020000}"/>
    <cellStyle name="Accent2 21" xfId="660" xr:uid="{00000000-0005-0000-0000-000087020000}"/>
    <cellStyle name="Accent2 22" xfId="661" xr:uid="{00000000-0005-0000-0000-000088020000}"/>
    <cellStyle name="Accent2 23" xfId="662" xr:uid="{00000000-0005-0000-0000-000089020000}"/>
    <cellStyle name="Accent2 24" xfId="663" xr:uid="{00000000-0005-0000-0000-00008A020000}"/>
    <cellStyle name="Accent2 25" xfId="664" xr:uid="{00000000-0005-0000-0000-00008B020000}"/>
    <cellStyle name="Accent2 26" xfId="665" xr:uid="{00000000-0005-0000-0000-00008C020000}"/>
    <cellStyle name="Accent2 27" xfId="666" xr:uid="{00000000-0005-0000-0000-00008D020000}"/>
    <cellStyle name="Accent2 28" xfId="667" xr:uid="{00000000-0005-0000-0000-00008E020000}"/>
    <cellStyle name="Accent2 29" xfId="668" xr:uid="{00000000-0005-0000-0000-00008F020000}"/>
    <cellStyle name="Accent2 3" xfId="669" xr:uid="{00000000-0005-0000-0000-000090020000}"/>
    <cellStyle name="Accent2 30" xfId="670" xr:uid="{00000000-0005-0000-0000-000091020000}"/>
    <cellStyle name="Accent2 31" xfId="671" xr:uid="{00000000-0005-0000-0000-000092020000}"/>
    <cellStyle name="Accent2 32" xfId="672" xr:uid="{00000000-0005-0000-0000-000093020000}"/>
    <cellStyle name="Accent2 33" xfId="673" xr:uid="{00000000-0005-0000-0000-000094020000}"/>
    <cellStyle name="Accent2 34" xfId="674" xr:uid="{00000000-0005-0000-0000-000095020000}"/>
    <cellStyle name="Accent2 35" xfId="675" xr:uid="{00000000-0005-0000-0000-000096020000}"/>
    <cellStyle name="Accent2 36" xfId="676" xr:uid="{00000000-0005-0000-0000-000097020000}"/>
    <cellStyle name="Accent2 37" xfId="677" xr:uid="{00000000-0005-0000-0000-000098020000}"/>
    <cellStyle name="Accent2 38" xfId="678" xr:uid="{00000000-0005-0000-0000-000099020000}"/>
    <cellStyle name="Accent2 39" xfId="679" xr:uid="{00000000-0005-0000-0000-00009A020000}"/>
    <cellStyle name="Accent2 4" xfId="680" xr:uid="{00000000-0005-0000-0000-00009B020000}"/>
    <cellStyle name="Accent2 40" xfId="681" xr:uid="{00000000-0005-0000-0000-00009C020000}"/>
    <cellStyle name="Accent2 41" xfId="682" xr:uid="{00000000-0005-0000-0000-00009D020000}"/>
    <cellStyle name="Accent2 42" xfId="683" xr:uid="{00000000-0005-0000-0000-00009E020000}"/>
    <cellStyle name="Accent2 43" xfId="684" xr:uid="{00000000-0005-0000-0000-00009F020000}"/>
    <cellStyle name="Accent2 44" xfId="685" xr:uid="{00000000-0005-0000-0000-0000A0020000}"/>
    <cellStyle name="Accent2 45" xfId="686" xr:uid="{00000000-0005-0000-0000-0000A1020000}"/>
    <cellStyle name="Accent2 46" xfId="687" xr:uid="{00000000-0005-0000-0000-0000A2020000}"/>
    <cellStyle name="Accent2 47" xfId="688" xr:uid="{00000000-0005-0000-0000-0000A3020000}"/>
    <cellStyle name="Accent2 48" xfId="689" xr:uid="{00000000-0005-0000-0000-0000A4020000}"/>
    <cellStyle name="Accent2 49" xfId="690" xr:uid="{00000000-0005-0000-0000-0000A5020000}"/>
    <cellStyle name="Accent2 5" xfId="691" xr:uid="{00000000-0005-0000-0000-0000A6020000}"/>
    <cellStyle name="Accent2 50" xfId="692" xr:uid="{00000000-0005-0000-0000-0000A7020000}"/>
    <cellStyle name="Accent2 51" xfId="693" xr:uid="{00000000-0005-0000-0000-0000A8020000}"/>
    <cellStyle name="Accent2 52" xfId="694" xr:uid="{00000000-0005-0000-0000-0000A9020000}"/>
    <cellStyle name="Accent2 53" xfId="695" xr:uid="{00000000-0005-0000-0000-0000AA020000}"/>
    <cellStyle name="Accent2 54" xfId="696" xr:uid="{00000000-0005-0000-0000-0000AB020000}"/>
    <cellStyle name="Accent2 55" xfId="697" xr:uid="{00000000-0005-0000-0000-0000AC020000}"/>
    <cellStyle name="Accent2 56" xfId="698" xr:uid="{00000000-0005-0000-0000-0000AD020000}"/>
    <cellStyle name="Accent2 57" xfId="699" xr:uid="{00000000-0005-0000-0000-0000AE020000}"/>
    <cellStyle name="Accent2 58" xfId="700" xr:uid="{00000000-0005-0000-0000-0000AF020000}"/>
    <cellStyle name="Accent2 59" xfId="701" xr:uid="{00000000-0005-0000-0000-0000B0020000}"/>
    <cellStyle name="Accent2 6" xfId="702" xr:uid="{00000000-0005-0000-0000-0000B1020000}"/>
    <cellStyle name="Accent2 60" xfId="703" xr:uid="{00000000-0005-0000-0000-0000B2020000}"/>
    <cellStyle name="Accent2 61" xfId="704" xr:uid="{00000000-0005-0000-0000-0000B3020000}"/>
    <cellStyle name="Accent2 62" xfId="705" xr:uid="{00000000-0005-0000-0000-0000B4020000}"/>
    <cellStyle name="Accent2 63" xfId="706" xr:uid="{00000000-0005-0000-0000-0000B5020000}"/>
    <cellStyle name="Accent2 64" xfId="707" xr:uid="{00000000-0005-0000-0000-0000B6020000}"/>
    <cellStyle name="Accent2 65" xfId="708" xr:uid="{00000000-0005-0000-0000-0000B7020000}"/>
    <cellStyle name="Accent2 66" xfId="709" xr:uid="{00000000-0005-0000-0000-0000B8020000}"/>
    <cellStyle name="Accent2 67" xfId="710" xr:uid="{00000000-0005-0000-0000-0000B9020000}"/>
    <cellStyle name="Accent2 68" xfId="711" xr:uid="{00000000-0005-0000-0000-0000BA020000}"/>
    <cellStyle name="Accent2 69" xfId="712" xr:uid="{00000000-0005-0000-0000-0000BB020000}"/>
    <cellStyle name="Accent2 7" xfId="713" xr:uid="{00000000-0005-0000-0000-0000BC020000}"/>
    <cellStyle name="Accent2 70" xfId="714" xr:uid="{00000000-0005-0000-0000-0000BD020000}"/>
    <cellStyle name="Accent2 71" xfId="715" xr:uid="{00000000-0005-0000-0000-0000BE020000}"/>
    <cellStyle name="Accent2 72" xfId="716" xr:uid="{00000000-0005-0000-0000-0000BF020000}"/>
    <cellStyle name="Accent2 73" xfId="717" xr:uid="{00000000-0005-0000-0000-0000C0020000}"/>
    <cellStyle name="Accent2 74" xfId="718" xr:uid="{00000000-0005-0000-0000-0000C1020000}"/>
    <cellStyle name="Accent2 75" xfId="719" xr:uid="{00000000-0005-0000-0000-0000C2020000}"/>
    <cellStyle name="Accent2 76" xfId="720" xr:uid="{00000000-0005-0000-0000-0000C3020000}"/>
    <cellStyle name="Accent2 77" xfId="721" xr:uid="{00000000-0005-0000-0000-0000C4020000}"/>
    <cellStyle name="Accent2 78" xfId="722" xr:uid="{00000000-0005-0000-0000-0000C5020000}"/>
    <cellStyle name="Accent2 79" xfId="723" xr:uid="{00000000-0005-0000-0000-0000C6020000}"/>
    <cellStyle name="Accent2 8" xfId="724" xr:uid="{00000000-0005-0000-0000-0000C7020000}"/>
    <cellStyle name="Accent2 80" xfId="725" xr:uid="{00000000-0005-0000-0000-0000C8020000}"/>
    <cellStyle name="Accent2 9" xfId="726" xr:uid="{00000000-0005-0000-0000-0000C9020000}"/>
    <cellStyle name="Accent3 - 20%" xfId="727" xr:uid="{00000000-0005-0000-0000-0000CA020000}"/>
    <cellStyle name="Accent3 - 20% 2" xfId="728" xr:uid="{00000000-0005-0000-0000-0000CB020000}"/>
    <cellStyle name="Accent3 - 40%" xfId="729" xr:uid="{00000000-0005-0000-0000-0000CC020000}"/>
    <cellStyle name="Accent3 - 40% 2" xfId="730" xr:uid="{00000000-0005-0000-0000-0000CD020000}"/>
    <cellStyle name="Accent3 - 60%" xfId="731" xr:uid="{00000000-0005-0000-0000-0000CE020000}"/>
    <cellStyle name="Accent3 - 60% 2" xfId="732" xr:uid="{00000000-0005-0000-0000-0000CF020000}"/>
    <cellStyle name="Accent3 10" xfId="733" xr:uid="{00000000-0005-0000-0000-0000D0020000}"/>
    <cellStyle name="Accent3 11" xfId="734" xr:uid="{00000000-0005-0000-0000-0000D1020000}"/>
    <cellStyle name="Accent3 12" xfId="735" xr:uid="{00000000-0005-0000-0000-0000D2020000}"/>
    <cellStyle name="Accent3 13" xfId="736" xr:uid="{00000000-0005-0000-0000-0000D3020000}"/>
    <cellStyle name="Accent3 14" xfId="737" xr:uid="{00000000-0005-0000-0000-0000D4020000}"/>
    <cellStyle name="Accent3 15" xfId="738" xr:uid="{00000000-0005-0000-0000-0000D5020000}"/>
    <cellStyle name="Accent3 16" xfId="739" xr:uid="{00000000-0005-0000-0000-0000D6020000}"/>
    <cellStyle name="Accent3 17" xfId="740" xr:uid="{00000000-0005-0000-0000-0000D7020000}"/>
    <cellStyle name="Accent3 18" xfId="741" xr:uid="{00000000-0005-0000-0000-0000D8020000}"/>
    <cellStyle name="Accent3 19" xfId="742" xr:uid="{00000000-0005-0000-0000-0000D9020000}"/>
    <cellStyle name="Accent3 2" xfId="743" xr:uid="{00000000-0005-0000-0000-0000DA020000}"/>
    <cellStyle name="Accent3 20" xfId="744" xr:uid="{00000000-0005-0000-0000-0000DB020000}"/>
    <cellStyle name="Accent3 21" xfId="745" xr:uid="{00000000-0005-0000-0000-0000DC020000}"/>
    <cellStyle name="Accent3 22" xfId="746" xr:uid="{00000000-0005-0000-0000-0000DD020000}"/>
    <cellStyle name="Accent3 23" xfId="747" xr:uid="{00000000-0005-0000-0000-0000DE020000}"/>
    <cellStyle name="Accent3 24" xfId="748" xr:uid="{00000000-0005-0000-0000-0000DF020000}"/>
    <cellStyle name="Accent3 25" xfId="749" xr:uid="{00000000-0005-0000-0000-0000E0020000}"/>
    <cellStyle name="Accent3 26" xfId="750" xr:uid="{00000000-0005-0000-0000-0000E1020000}"/>
    <cellStyle name="Accent3 27" xfId="751" xr:uid="{00000000-0005-0000-0000-0000E2020000}"/>
    <cellStyle name="Accent3 28" xfId="752" xr:uid="{00000000-0005-0000-0000-0000E3020000}"/>
    <cellStyle name="Accent3 29" xfId="753" xr:uid="{00000000-0005-0000-0000-0000E4020000}"/>
    <cellStyle name="Accent3 3" xfId="754" xr:uid="{00000000-0005-0000-0000-0000E5020000}"/>
    <cellStyle name="Accent3 30" xfId="755" xr:uid="{00000000-0005-0000-0000-0000E6020000}"/>
    <cellStyle name="Accent3 31" xfId="756" xr:uid="{00000000-0005-0000-0000-0000E7020000}"/>
    <cellStyle name="Accent3 32" xfId="757" xr:uid="{00000000-0005-0000-0000-0000E8020000}"/>
    <cellStyle name="Accent3 33" xfId="758" xr:uid="{00000000-0005-0000-0000-0000E9020000}"/>
    <cellStyle name="Accent3 34" xfId="759" xr:uid="{00000000-0005-0000-0000-0000EA020000}"/>
    <cellStyle name="Accent3 35" xfId="760" xr:uid="{00000000-0005-0000-0000-0000EB020000}"/>
    <cellStyle name="Accent3 36" xfId="761" xr:uid="{00000000-0005-0000-0000-0000EC020000}"/>
    <cellStyle name="Accent3 37" xfId="762" xr:uid="{00000000-0005-0000-0000-0000ED020000}"/>
    <cellStyle name="Accent3 38" xfId="763" xr:uid="{00000000-0005-0000-0000-0000EE020000}"/>
    <cellStyle name="Accent3 39" xfId="764" xr:uid="{00000000-0005-0000-0000-0000EF020000}"/>
    <cellStyle name="Accent3 4" xfId="765" xr:uid="{00000000-0005-0000-0000-0000F0020000}"/>
    <cellStyle name="Accent3 40" xfId="766" xr:uid="{00000000-0005-0000-0000-0000F1020000}"/>
    <cellStyle name="Accent3 41" xfId="767" xr:uid="{00000000-0005-0000-0000-0000F2020000}"/>
    <cellStyle name="Accent3 42" xfId="768" xr:uid="{00000000-0005-0000-0000-0000F3020000}"/>
    <cellStyle name="Accent3 43" xfId="769" xr:uid="{00000000-0005-0000-0000-0000F4020000}"/>
    <cellStyle name="Accent3 44" xfId="770" xr:uid="{00000000-0005-0000-0000-0000F5020000}"/>
    <cellStyle name="Accent3 45" xfId="771" xr:uid="{00000000-0005-0000-0000-0000F6020000}"/>
    <cellStyle name="Accent3 46" xfId="772" xr:uid="{00000000-0005-0000-0000-0000F7020000}"/>
    <cellStyle name="Accent3 47" xfId="773" xr:uid="{00000000-0005-0000-0000-0000F8020000}"/>
    <cellStyle name="Accent3 48" xfId="774" xr:uid="{00000000-0005-0000-0000-0000F9020000}"/>
    <cellStyle name="Accent3 49" xfId="775" xr:uid="{00000000-0005-0000-0000-0000FA020000}"/>
    <cellStyle name="Accent3 5" xfId="776" xr:uid="{00000000-0005-0000-0000-0000FB020000}"/>
    <cellStyle name="Accent3 50" xfId="777" xr:uid="{00000000-0005-0000-0000-0000FC020000}"/>
    <cellStyle name="Accent3 51" xfId="778" xr:uid="{00000000-0005-0000-0000-0000FD020000}"/>
    <cellStyle name="Accent3 52" xfId="779" xr:uid="{00000000-0005-0000-0000-0000FE020000}"/>
    <cellStyle name="Accent3 53" xfId="780" xr:uid="{00000000-0005-0000-0000-0000FF020000}"/>
    <cellStyle name="Accent3 54" xfId="781" xr:uid="{00000000-0005-0000-0000-000000030000}"/>
    <cellStyle name="Accent3 55" xfId="782" xr:uid="{00000000-0005-0000-0000-000001030000}"/>
    <cellStyle name="Accent3 56" xfId="783" xr:uid="{00000000-0005-0000-0000-000002030000}"/>
    <cellStyle name="Accent3 57" xfId="784" xr:uid="{00000000-0005-0000-0000-000003030000}"/>
    <cellStyle name="Accent3 58" xfId="785" xr:uid="{00000000-0005-0000-0000-000004030000}"/>
    <cellStyle name="Accent3 59" xfId="786" xr:uid="{00000000-0005-0000-0000-000005030000}"/>
    <cellStyle name="Accent3 6" xfId="787" xr:uid="{00000000-0005-0000-0000-000006030000}"/>
    <cellStyle name="Accent3 60" xfId="788" xr:uid="{00000000-0005-0000-0000-000007030000}"/>
    <cellStyle name="Accent3 61" xfId="789" xr:uid="{00000000-0005-0000-0000-000008030000}"/>
    <cellStyle name="Accent3 62" xfId="790" xr:uid="{00000000-0005-0000-0000-000009030000}"/>
    <cellStyle name="Accent3 63" xfId="791" xr:uid="{00000000-0005-0000-0000-00000A030000}"/>
    <cellStyle name="Accent3 64" xfId="792" xr:uid="{00000000-0005-0000-0000-00000B030000}"/>
    <cellStyle name="Accent3 65" xfId="793" xr:uid="{00000000-0005-0000-0000-00000C030000}"/>
    <cellStyle name="Accent3 66" xfId="794" xr:uid="{00000000-0005-0000-0000-00000D030000}"/>
    <cellStyle name="Accent3 67" xfId="795" xr:uid="{00000000-0005-0000-0000-00000E030000}"/>
    <cellStyle name="Accent3 68" xfId="796" xr:uid="{00000000-0005-0000-0000-00000F030000}"/>
    <cellStyle name="Accent3 69" xfId="797" xr:uid="{00000000-0005-0000-0000-000010030000}"/>
    <cellStyle name="Accent3 7" xfId="798" xr:uid="{00000000-0005-0000-0000-000011030000}"/>
    <cellStyle name="Accent3 70" xfId="799" xr:uid="{00000000-0005-0000-0000-000012030000}"/>
    <cellStyle name="Accent3 71" xfId="800" xr:uid="{00000000-0005-0000-0000-000013030000}"/>
    <cellStyle name="Accent3 72" xfId="801" xr:uid="{00000000-0005-0000-0000-000014030000}"/>
    <cellStyle name="Accent3 73" xfId="802" xr:uid="{00000000-0005-0000-0000-000015030000}"/>
    <cellStyle name="Accent3 74" xfId="803" xr:uid="{00000000-0005-0000-0000-000016030000}"/>
    <cellStyle name="Accent3 75" xfId="804" xr:uid="{00000000-0005-0000-0000-000017030000}"/>
    <cellStyle name="Accent3 76" xfId="805" xr:uid="{00000000-0005-0000-0000-000018030000}"/>
    <cellStyle name="Accent3 77" xfId="806" xr:uid="{00000000-0005-0000-0000-000019030000}"/>
    <cellStyle name="Accent3 78" xfId="807" xr:uid="{00000000-0005-0000-0000-00001A030000}"/>
    <cellStyle name="Accent3 79" xfId="808" xr:uid="{00000000-0005-0000-0000-00001B030000}"/>
    <cellStyle name="Accent3 8" xfId="809" xr:uid="{00000000-0005-0000-0000-00001C030000}"/>
    <cellStyle name="Accent3 80" xfId="810" xr:uid="{00000000-0005-0000-0000-00001D030000}"/>
    <cellStyle name="Accent3 9" xfId="811" xr:uid="{00000000-0005-0000-0000-00001E030000}"/>
    <cellStyle name="Accent4 - 20%" xfId="812" xr:uid="{00000000-0005-0000-0000-00001F030000}"/>
    <cellStyle name="Accent4 - 20% 2" xfId="813" xr:uid="{00000000-0005-0000-0000-000020030000}"/>
    <cellStyle name="Accent4 - 40%" xfId="814" xr:uid="{00000000-0005-0000-0000-000021030000}"/>
    <cellStyle name="Accent4 - 40% 2" xfId="815" xr:uid="{00000000-0005-0000-0000-000022030000}"/>
    <cellStyle name="Accent4 - 60%" xfId="816" xr:uid="{00000000-0005-0000-0000-000023030000}"/>
    <cellStyle name="Accent4 - 60% 2" xfId="817" xr:uid="{00000000-0005-0000-0000-000024030000}"/>
    <cellStyle name="Accent4 10" xfId="818" xr:uid="{00000000-0005-0000-0000-000025030000}"/>
    <cellStyle name="Accent4 11" xfId="819" xr:uid="{00000000-0005-0000-0000-000026030000}"/>
    <cellStyle name="Accent4 12" xfId="820" xr:uid="{00000000-0005-0000-0000-000027030000}"/>
    <cellStyle name="Accent4 13" xfId="821" xr:uid="{00000000-0005-0000-0000-000028030000}"/>
    <cellStyle name="Accent4 14" xfId="822" xr:uid="{00000000-0005-0000-0000-000029030000}"/>
    <cellStyle name="Accent4 15" xfId="823" xr:uid="{00000000-0005-0000-0000-00002A030000}"/>
    <cellStyle name="Accent4 16" xfId="824" xr:uid="{00000000-0005-0000-0000-00002B030000}"/>
    <cellStyle name="Accent4 17" xfId="825" xr:uid="{00000000-0005-0000-0000-00002C030000}"/>
    <cellStyle name="Accent4 18" xfId="826" xr:uid="{00000000-0005-0000-0000-00002D030000}"/>
    <cellStyle name="Accent4 19" xfId="827" xr:uid="{00000000-0005-0000-0000-00002E030000}"/>
    <cellStyle name="Accent4 2" xfId="828" xr:uid="{00000000-0005-0000-0000-00002F030000}"/>
    <cellStyle name="Accent4 20" xfId="829" xr:uid="{00000000-0005-0000-0000-000030030000}"/>
    <cellStyle name="Accent4 21" xfId="830" xr:uid="{00000000-0005-0000-0000-000031030000}"/>
    <cellStyle name="Accent4 22" xfId="831" xr:uid="{00000000-0005-0000-0000-000032030000}"/>
    <cellStyle name="Accent4 23" xfId="832" xr:uid="{00000000-0005-0000-0000-000033030000}"/>
    <cellStyle name="Accent4 24" xfId="833" xr:uid="{00000000-0005-0000-0000-000034030000}"/>
    <cellStyle name="Accent4 25" xfId="834" xr:uid="{00000000-0005-0000-0000-000035030000}"/>
    <cellStyle name="Accent4 26" xfId="835" xr:uid="{00000000-0005-0000-0000-000036030000}"/>
    <cellStyle name="Accent4 27" xfId="836" xr:uid="{00000000-0005-0000-0000-000037030000}"/>
    <cellStyle name="Accent4 28" xfId="837" xr:uid="{00000000-0005-0000-0000-000038030000}"/>
    <cellStyle name="Accent4 29" xfId="838" xr:uid="{00000000-0005-0000-0000-000039030000}"/>
    <cellStyle name="Accent4 3" xfId="839" xr:uid="{00000000-0005-0000-0000-00003A030000}"/>
    <cellStyle name="Accent4 30" xfId="840" xr:uid="{00000000-0005-0000-0000-00003B030000}"/>
    <cellStyle name="Accent4 31" xfId="841" xr:uid="{00000000-0005-0000-0000-00003C030000}"/>
    <cellStyle name="Accent4 32" xfId="842" xr:uid="{00000000-0005-0000-0000-00003D030000}"/>
    <cellStyle name="Accent4 33" xfId="843" xr:uid="{00000000-0005-0000-0000-00003E030000}"/>
    <cellStyle name="Accent4 34" xfId="844" xr:uid="{00000000-0005-0000-0000-00003F030000}"/>
    <cellStyle name="Accent4 35" xfId="845" xr:uid="{00000000-0005-0000-0000-000040030000}"/>
    <cellStyle name="Accent4 36" xfId="846" xr:uid="{00000000-0005-0000-0000-000041030000}"/>
    <cellStyle name="Accent4 37" xfId="847" xr:uid="{00000000-0005-0000-0000-000042030000}"/>
    <cellStyle name="Accent4 38" xfId="848" xr:uid="{00000000-0005-0000-0000-000043030000}"/>
    <cellStyle name="Accent4 39" xfId="849" xr:uid="{00000000-0005-0000-0000-000044030000}"/>
    <cellStyle name="Accent4 4" xfId="850" xr:uid="{00000000-0005-0000-0000-000045030000}"/>
    <cellStyle name="Accent4 40" xfId="851" xr:uid="{00000000-0005-0000-0000-000046030000}"/>
    <cellStyle name="Accent4 41" xfId="852" xr:uid="{00000000-0005-0000-0000-000047030000}"/>
    <cellStyle name="Accent4 42" xfId="853" xr:uid="{00000000-0005-0000-0000-000048030000}"/>
    <cellStyle name="Accent4 43" xfId="854" xr:uid="{00000000-0005-0000-0000-000049030000}"/>
    <cellStyle name="Accent4 44" xfId="855" xr:uid="{00000000-0005-0000-0000-00004A030000}"/>
    <cellStyle name="Accent4 45" xfId="856" xr:uid="{00000000-0005-0000-0000-00004B030000}"/>
    <cellStyle name="Accent4 46" xfId="857" xr:uid="{00000000-0005-0000-0000-00004C030000}"/>
    <cellStyle name="Accent4 47" xfId="858" xr:uid="{00000000-0005-0000-0000-00004D030000}"/>
    <cellStyle name="Accent4 48" xfId="859" xr:uid="{00000000-0005-0000-0000-00004E030000}"/>
    <cellStyle name="Accent4 49" xfId="860" xr:uid="{00000000-0005-0000-0000-00004F030000}"/>
    <cellStyle name="Accent4 5" xfId="861" xr:uid="{00000000-0005-0000-0000-000050030000}"/>
    <cellStyle name="Accent4 50" xfId="862" xr:uid="{00000000-0005-0000-0000-000051030000}"/>
    <cellStyle name="Accent4 51" xfId="863" xr:uid="{00000000-0005-0000-0000-000052030000}"/>
    <cellStyle name="Accent4 52" xfId="864" xr:uid="{00000000-0005-0000-0000-000053030000}"/>
    <cellStyle name="Accent4 53" xfId="865" xr:uid="{00000000-0005-0000-0000-000054030000}"/>
    <cellStyle name="Accent4 54" xfId="866" xr:uid="{00000000-0005-0000-0000-000055030000}"/>
    <cellStyle name="Accent4 55" xfId="867" xr:uid="{00000000-0005-0000-0000-000056030000}"/>
    <cellStyle name="Accent4 56" xfId="868" xr:uid="{00000000-0005-0000-0000-000057030000}"/>
    <cellStyle name="Accent4 57" xfId="869" xr:uid="{00000000-0005-0000-0000-000058030000}"/>
    <cellStyle name="Accent4 58" xfId="870" xr:uid="{00000000-0005-0000-0000-000059030000}"/>
    <cellStyle name="Accent4 59" xfId="871" xr:uid="{00000000-0005-0000-0000-00005A030000}"/>
    <cellStyle name="Accent4 6" xfId="872" xr:uid="{00000000-0005-0000-0000-00005B030000}"/>
    <cellStyle name="Accent4 60" xfId="873" xr:uid="{00000000-0005-0000-0000-00005C030000}"/>
    <cellStyle name="Accent4 61" xfId="874" xr:uid="{00000000-0005-0000-0000-00005D030000}"/>
    <cellStyle name="Accent4 62" xfId="875" xr:uid="{00000000-0005-0000-0000-00005E030000}"/>
    <cellStyle name="Accent4 63" xfId="876" xr:uid="{00000000-0005-0000-0000-00005F030000}"/>
    <cellStyle name="Accent4 64" xfId="877" xr:uid="{00000000-0005-0000-0000-000060030000}"/>
    <cellStyle name="Accent4 65" xfId="878" xr:uid="{00000000-0005-0000-0000-000061030000}"/>
    <cellStyle name="Accent4 66" xfId="879" xr:uid="{00000000-0005-0000-0000-000062030000}"/>
    <cellStyle name="Accent4 67" xfId="880" xr:uid="{00000000-0005-0000-0000-000063030000}"/>
    <cellStyle name="Accent4 68" xfId="881" xr:uid="{00000000-0005-0000-0000-000064030000}"/>
    <cellStyle name="Accent4 69" xfId="882" xr:uid="{00000000-0005-0000-0000-000065030000}"/>
    <cellStyle name="Accent4 7" xfId="883" xr:uid="{00000000-0005-0000-0000-000066030000}"/>
    <cellStyle name="Accent4 70" xfId="884" xr:uid="{00000000-0005-0000-0000-000067030000}"/>
    <cellStyle name="Accent4 71" xfId="885" xr:uid="{00000000-0005-0000-0000-000068030000}"/>
    <cellStyle name="Accent4 72" xfId="886" xr:uid="{00000000-0005-0000-0000-000069030000}"/>
    <cellStyle name="Accent4 73" xfId="887" xr:uid="{00000000-0005-0000-0000-00006A030000}"/>
    <cellStyle name="Accent4 74" xfId="888" xr:uid="{00000000-0005-0000-0000-00006B030000}"/>
    <cellStyle name="Accent4 75" xfId="889" xr:uid="{00000000-0005-0000-0000-00006C030000}"/>
    <cellStyle name="Accent4 76" xfId="890" xr:uid="{00000000-0005-0000-0000-00006D030000}"/>
    <cellStyle name="Accent4 77" xfId="891" xr:uid="{00000000-0005-0000-0000-00006E030000}"/>
    <cellStyle name="Accent4 78" xfId="892" xr:uid="{00000000-0005-0000-0000-00006F030000}"/>
    <cellStyle name="Accent4 79" xfId="893" xr:uid="{00000000-0005-0000-0000-000070030000}"/>
    <cellStyle name="Accent4 8" xfId="894" xr:uid="{00000000-0005-0000-0000-000071030000}"/>
    <cellStyle name="Accent4 80" xfId="895" xr:uid="{00000000-0005-0000-0000-000072030000}"/>
    <cellStyle name="Accent4 9" xfId="896" xr:uid="{00000000-0005-0000-0000-000073030000}"/>
    <cellStyle name="Accent5 - 20%" xfId="897" xr:uid="{00000000-0005-0000-0000-000074030000}"/>
    <cellStyle name="Accent5 - 20% 2" xfId="898" xr:uid="{00000000-0005-0000-0000-000075030000}"/>
    <cellStyle name="Accent5 - 40%" xfId="899" xr:uid="{00000000-0005-0000-0000-000076030000}"/>
    <cellStyle name="Accent5 - 40% 2" xfId="900" xr:uid="{00000000-0005-0000-0000-000077030000}"/>
    <cellStyle name="Accent5 - 60%" xfId="901" xr:uid="{00000000-0005-0000-0000-000078030000}"/>
    <cellStyle name="Accent5 - 60% 2" xfId="902" xr:uid="{00000000-0005-0000-0000-000079030000}"/>
    <cellStyle name="Accent5 10" xfId="903" xr:uid="{00000000-0005-0000-0000-00007A030000}"/>
    <cellStyle name="Accent5 11" xfId="904" xr:uid="{00000000-0005-0000-0000-00007B030000}"/>
    <cellStyle name="Accent5 12" xfId="905" xr:uid="{00000000-0005-0000-0000-00007C030000}"/>
    <cellStyle name="Accent5 13" xfId="906" xr:uid="{00000000-0005-0000-0000-00007D030000}"/>
    <cellStyle name="Accent5 14" xfId="907" xr:uid="{00000000-0005-0000-0000-00007E030000}"/>
    <cellStyle name="Accent5 15" xfId="908" xr:uid="{00000000-0005-0000-0000-00007F030000}"/>
    <cellStyle name="Accent5 16" xfId="909" xr:uid="{00000000-0005-0000-0000-000080030000}"/>
    <cellStyle name="Accent5 17" xfId="910" xr:uid="{00000000-0005-0000-0000-000081030000}"/>
    <cellStyle name="Accent5 18" xfId="911" xr:uid="{00000000-0005-0000-0000-000082030000}"/>
    <cellStyle name="Accent5 19" xfId="912" xr:uid="{00000000-0005-0000-0000-000083030000}"/>
    <cellStyle name="Accent5 2" xfId="913" xr:uid="{00000000-0005-0000-0000-000084030000}"/>
    <cellStyle name="Accent5 20" xfId="914" xr:uid="{00000000-0005-0000-0000-000085030000}"/>
    <cellStyle name="Accent5 21" xfId="915" xr:uid="{00000000-0005-0000-0000-000086030000}"/>
    <cellStyle name="Accent5 22" xfId="916" xr:uid="{00000000-0005-0000-0000-000087030000}"/>
    <cellStyle name="Accent5 23" xfId="917" xr:uid="{00000000-0005-0000-0000-000088030000}"/>
    <cellStyle name="Accent5 24" xfId="918" xr:uid="{00000000-0005-0000-0000-000089030000}"/>
    <cellStyle name="Accent5 25" xfId="919" xr:uid="{00000000-0005-0000-0000-00008A030000}"/>
    <cellStyle name="Accent5 26" xfId="920" xr:uid="{00000000-0005-0000-0000-00008B030000}"/>
    <cellStyle name="Accent5 27" xfId="921" xr:uid="{00000000-0005-0000-0000-00008C030000}"/>
    <cellStyle name="Accent5 28" xfId="922" xr:uid="{00000000-0005-0000-0000-00008D030000}"/>
    <cellStyle name="Accent5 29" xfId="923" xr:uid="{00000000-0005-0000-0000-00008E030000}"/>
    <cellStyle name="Accent5 3" xfId="924" xr:uid="{00000000-0005-0000-0000-00008F030000}"/>
    <cellStyle name="Accent5 30" xfId="925" xr:uid="{00000000-0005-0000-0000-000090030000}"/>
    <cellStyle name="Accent5 31" xfId="926" xr:uid="{00000000-0005-0000-0000-000091030000}"/>
    <cellStyle name="Accent5 32" xfId="927" xr:uid="{00000000-0005-0000-0000-000092030000}"/>
    <cellStyle name="Accent5 33" xfId="928" xr:uid="{00000000-0005-0000-0000-000093030000}"/>
    <cellStyle name="Accent5 34" xfId="929" xr:uid="{00000000-0005-0000-0000-000094030000}"/>
    <cellStyle name="Accent5 35" xfId="930" xr:uid="{00000000-0005-0000-0000-000095030000}"/>
    <cellStyle name="Accent5 36" xfId="931" xr:uid="{00000000-0005-0000-0000-000096030000}"/>
    <cellStyle name="Accent5 37" xfId="932" xr:uid="{00000000-0005-0000-0000-000097030000}"/>
    <cellStyle name="Accent5 38" xfId="933" xr:uid="{00000000-0005-0000-0000-000098030000}"/>
    <cellStyle name="Accent5 39" xfId="934" xr:uid="{00000000-0005-0000-0000-000099030000}"/>
    <cellStyle name="Accent5 4" xfId="935" xr:uid="{00000000-0005-0000-0000-00009A030000}"/>
    <cellStyle name="Accent5 40" xfId="936" xr:uid="{00000000-0005-0000-0000-00009B030000}"/>
    <cellStyle name="Accent5 41" xfId="937" xr:uid="{00000000-0005-0000-0000-00009C030000}"/>
    <cellStyle name="Accent5 42" xfId="938" xr:uid="{00000000-0005-0000-0000-00009D030000}"/>
    <cellStyle name="Accent5 43" xfId="939" xr:uid="{00000000-0005-0000-0000-00009E030000}"/>
    <cellStyle name="Accent5 44" xfId="940" xr:uid="{00000000-0005-0000-0000-00009F030000}"/>
    <cellStyle name="Accent5 45" xfId="941" xr:uid="{00000000-0005-0000-0000-0000A0030000}"/>
    <cellStyle name="Accent5 46" xfId="942" xr:uid="{00000000-0005-0000-0000-0000A1030000}"/>
    <cellStyle name="Accent5 47" xfId="943" xr:uid="{00000000-0005-0000-0000-0000A2030000}"/>
    <cellStyle name="Accent5 48" xfId="944" xr:uid="{00000000-0005-0000-0000-0000A3030000}"/>
    <cellStyle name="Accent5 49" xfId="945" xr:uid="{00000000-0005-0000-0000-0000A4030000}"/>
    <cellStyle name="Accent5 5" xfId="946" xr:uid="{00000000-0005-0000-0000-0000A5030000}"/>
    <cellStyle name="Accent5 50" xfId="947" xr:uid="{00000000-0005-0000-0000-0000A6030000}"/>
    <cellStyle name="Accent5 51" xfId="948" xr:uid="{00000000-0005-0000-0000-0000A7030000}"/>
    <cellStyle name="Accent5 52" xfId="949" xr:uid="{00000000-0005-0000-0000-0000A8030000}"/>
    <cellStyle name="Accent5 53" xfId="950" xr:uid="{00000000-0005-0000-0000-0000A9030000}"/>
    <cellStyle name="Accent5 54" xfId="951" xr:uid="{00000000-0005-0000-0000-0000AA030000}"/>
    <cellStyle name="Accent5 55" xfId="952" xr:uid="{00000000-0005-0000-0000-0000AB030000}"/>
    <cellStyle name="Accent5 56" xfId="953" xr:uid="{00000000-0005-0000-0000-0000AC030000}"/>
    <cellStyle name="Accent5 57" xfId="954" xr:uid="{00000000-0005-0000-0000-0000AD030000}"/>
    <cellStyle name="Accent5 58" xfId="955" xr:uid="{00000000-0005-0000-0000-0000AE030000}"/>
    <cellStyle name="Accent5 59" xfId="956" xr:uid="{00000000-0005-0000-0000-0000AF030000}"/>
    <cellStyle name="Accent5 6" xfId="957" xr:uid="{00000000-0005-0000-0000-0000B0030000}"/>
    <cellStyle name="Accent5 60" xfId="958" xr:uid="{00000000-0005-0000-0000-0000B1030000}"/>
    <cellStyle name="Accent5 61" xfId="959" xr:uid="{00000000-0005-0000-0000-0000B2030000}"/>
    <cellStyle name="Accent5 62" xfId="960" xr:uid="{00000000-0005-0000-0000-0000B3030000}"/>
    <cellStyle name="Accent5 63" xfId="961" xr:uid="{00000000-0005-0000-0000-0000B4030000}"/>
    <cellStyle name="Accent5 64" xfId="962" xr:uid="{00000000-0005-0000-0000-0000B5030000}"/>
    <cellStyle name="Accent5 65" xfId="963" xr:uid="{00000000-0005-0000-0000-0000B6030000}"/>
    <cellStyle name="Accent5 66" xfId="964" xr:uid="{00000000-0005-0000-0000-0000B7030000}"/>
    <cellStyle name="Accent5 67" xfId="965" xr:uid="{00000000-0005-0000-0000-0000B8030000}"/>
    <cellStyle name="Accent5 68" xfId="966" xr:uid="{00000000-0005-0000-0000-0000B9030000}"/>
    <cellStyle name="Accent5 69" xfId="967" xr:uid="{00000000-0005-0000-0000-0000BA030000}"/>
    <cellStyle name="Accent5 7" xfId="968" xr:uid="{00000000-0005-0000-0000-0000BB030000}"/>
    <cellStyle name="Accent5 70" xfId="969" xr:uid="{00000000-0005-0000-0000-0000BC030000}"/>
    <cellStyle name="Accent5 71" xfId="970" xr:uid="{00000000-0005-0000-0000-0000BD030000}"/>
    <cellStyle name="Accent5 72" xfId="971" xr:uid="{00000000-0005-0000-0000-0000BE030000}"/>
    <cellStyle name="Accent5 73" xfId="972" xr:uid="{00000000-0005-0000-0000-0000BF030000}"/>
    <cellStyle name="Accent5 74" xfId="973" xr:uid="{00000000-0005-0000-0000-0000C0030000}"/>
    <cellStyle name="Accent5 75" xfId="974" xr:uid="{00000000-0005-0000-0000-0000C1030000}"/>
    <cellStyle name="Accent5 76" xfId="975" xr:uid="{00000000-0005-0000-0000-0000C2030000}"/>
    <cellStyle name="Accent5 77" xfId="976" xr:uid="{00000000-0005-0000-0000-0000C3030000}"/>
    <cellStyle name="Accent5 78" xfId="977" xr:uid="{00000000-0005-0000-0000-0000C4030000}"/>
    <cellStyle name="Accent5 79" xfId="978" xr:uid="{00000000-0005-0000-0000-0000C5030000}"/>
    <cellStyle name="Accent5 8" xfId="979" xr:uid="{00000000-0005-0000-0000-0000C6030000}"/>
    <cellStyle name="Accent5 80" xfId="980" xr:uid="{00000000-0005-0000-0000-0000C7030000}"/>
    <cellStyle name="Accent5 9" xfId="981" xr:uid="{00000000-0005-0000-0000-0000C8030000}"/>
    <cellStyle name="Accent6 - 20%" xfId="982" xr:uid="{00000000-0005-0000-0000-0000C9030000}"/>
    <cellStyle name="Accent6 - 20% 2" xfId="983" xr:uid="{00000000-0005-0000-0000-0000CA030000}"/>
    <cellStyle name="Accent6 - 40%" xfId="984" xr:uid="{00000000-0005-0000-0000-0000CB030000}"/>
    <cellStyle name="Accent6 - 40% 2" xfId="985" xr:uid="{00000000-0005-0000-0000-0000CC030000}"/>
    <cellStyle name="Accent6 - 60%" xfId="986" xr:uid="{00000000-0005-0000-0000-0000CD030000}"/>
    <cellStyle name="Accent6 - 60% 2" xfId="987" xr:uid="{00000000-0005-0000-0000-0000CE030000}"/>
    <cellStyle name="Accent6 10" xfId="988" xr:uid="{00000000-0005-0000-0000-0000CF030000}"/>
    <cellStyle name="Accent6 11" xfId="989" xr:uid="{00000000-0005-0000-0000-0000D0030000}"/>
    <cellStyle name="Accent6 12" xfId="990" xr:uid="{00000000-0005-0000-0000-0000D1030000}"/>
    <cellStyle name="Accent6 13" xfId="991" xr:uid="{00000000-0005-0000-0000-0000D2030000}"/>
    <cellStyle name="Accent6 14" xfId="992" xr:uid="{00000000-0005-0000-0000-0000D3030000}"/>
    <cellStyle name="Accent6 15" xfId="993" xr:uid="{00000000-0005-0000-0000-0000D4030000}"/>
    <cellStyle name="Accent6 16" xfId="994" xr:uid="{00000000-0005-0000-0000-0000D5030000}"/>
    <cellStyle name="Accent6 17" xfId="995" xr:uid="{00000000-0005-0000-0000-0000D6030000}"/>
    <cellStyle name="Accent6 18" xfId="996" xr:uid="{00000000-0005-0000-0000-0000D7030000}"/>
    <cellStyle name="Accent6 19" xfId="997" xr:uid="{00000000-0005-0000-0000-0000D8030000}"/>
    <cellStyle name="Accent6 2" xfId="998" xr:uid="{00000000-0005-0000-0000-0000D9030000}"/>
    <cellStyle name="Accent6 20" xfId="999" xr:uid="{00000000-0005-0000-0000-0000DA030000}"/>
    <cellStyle name="Accent6 21" xfId="1000" xr:uid="{00000000-0005-0000-0000-0000DB030000}"/>
    <cellStyle name="Accent6 22" xfId="1001" xr:uid="{00000000-0005-0000-0000-0000DC030000}"/>
    <cellStyle name="Accent6 23" xfId="1002" xr:uid="{00000000-0005-0000-0000-0000DD030000}"/>
    <cellStyle name="Accent6 24" xfId="1003" xr:uid="{00000000-0005-0000-0000-0000DE030000}"/>
    <cellStyle name="Accent6 25" xfId="1004" xr:uid="{00000000-0005-0000-0000-0000DF030000}"/>
    <cellStyle name="Accent6 26" xfId="1005" xr:uid="{00000000-0005-0000-0000-0000E0030000}"/>
    <cellStyle name="Accent6 27" xfId="1006" xr:uid="{00000000-0005-0000-0000-0000E1030000}"/>
    <cellStyle name="Accent6 28" xfId="1007" xr:uid="{00000000-0005-0000-0000-0000E2030000}"/>
    <cellStyle name="Accent6 29" xfId="1008" xr:uid="{00000000-0005-0000-0000-0000E3030000}"/>
    <cellStyle name="Accent6 3" xfId="1009" xr:uid="{00000000-0005-0000-0000-0000E4030000}"/>
    <cellStyle name="Accent6 30" xfId="1010" xr:uid="{00000000-0005-0000-0000-0000E5030000}"/>
    <cellStyle name="Accent6 31" xfId="1011" xr:uid="{00000000-0005-0000-0000-0000E6030000}"/>
    <cellStyle name="Accent6 32" xfId="1012" xr:uid="{00000000-0005-0000-0000-0000E7030000}"/>
    <cellStyle name="Accent6 33" xfId="1013" xr:uid="{00000000-0005-0000-0000-0000E8030000}"/>
    <cellStyle name="Accent6 34" xfId="1014" xr:uid="{00000000-0005-0000-0000-0000E9030000}"/>
    <cellStyle name="Accent6 35" xfId="1015" xr:uid="{00000000-0005-0000-0000-0000EA030000}"/>
    <cellStyle name="Accent6 36" xfId="1016" xr:uid="{00000000-0005-0000-0000-0000EB030000}"/>
    <cellStyle name="Accent6 37" xfId="1017" xr:uid="{00000000-0005-0000-0000-0000EC030000}"/>
    <cellStyle name="Accent6 38" xfId="1018" xr:uid="{00000000-0005-0000-0000-0000ED030000}"/>
    <cellStyle name="Accent6 39" xfId="1019" xr:uid="{00000000-0005-0000-0000-0000EE030000}"/>
    <cellStyle name="Accent6 4" xfId="1020" xr:uid="{00000000-0005-0000-0000-0000EF030000}"/>
    <cellStyle name="Accent6 40" xfId="1021" xr:uid="{00000000-0005-0000-0000-0000F0030000}"/>
    <cellStyle name="Accent6 41" xfId="1022" xr:uid="{00000000-0005-0000-0000-0000F1030000}"/>
    <cellStyle name="Accent6 42" xfId="1023" xr:uid="{00000000-0005-0000-0000-0000F2030000}"/>
    <cellStyle name="Accent6 43" xfId="1024" xr:uid="{00000000-0005-0000-0000-0000F3030000}"/>
    <cellStyle name="Accent6 44" xfId="1025" xr:uid="{00000000-0005-0000-0000-0000F4030000}"/>
    <cellStyle name="Accent6 45" xfId="1026" xr:uid="{00000000-0005-0000-0000-0000F5030000}"/>
    <cellStyle name="Accent6 46" xfId="1027" xr:uid="{00000000-0005-0000-0000-0000F6030000}"/>
    <cellStyle name="Accent6 47" xfId="1028" xr:uid="{00000000-0005-0000-0000-0000F7030000}"/>
    <cellStyle name="Accent6 48" xfId="1029" xr:uid="{00000000-0005-0000-0000-0000F8030000}"/>
    <cellStyle name="Accent6 49" xfId="1030" xr:uid="{00000000-0005-0000-0000-0000F9030000}"/>
    <cellStyle name="Accent6 5" xfId="1031" xr:uid="{00000000-0005-0000-0000-0000FA030000}"/>
    <cellStyle name="Accent6 50" xfId="1032" xr:uid="{00000000-0005-0000-0000-0000FB030000}"/>
    <cellStyle name="Accent6 51" xfId="1033" xr:uid="{00000000-0005-0000-0000-0000FC030000}"/>
    <cellStyle name="Accent6 52" xfId="1034" xr:uid="{00000000-0005-0000-0000-0000FD030000}"/>
    <cellStyle name="Accent6 53" xfId="1035" xr:uid="{00000000-0005-0000-0000-0000FE030000}"/>
    <cellStyle name="Accent6 54" xfId="1036" xr:uid="{00000000-0005-0000-0000-0000FF030000}"/>
    <cellStyle name="Accent6 55" xfId="1037" xr:uid="{00000000-0005-0000-0000-000000040000}"/>
    <cellStyle name="Accent6 56" xfId="1038" xr:uid="{00000000-0005-0000-0000-000001040000}"/>
    <cellStyle name="Accent6 57" xfId="1039" xr:uid="{00000000-0005-0000-0000-000002040000}"/>
    <cellStyle name="Accent6 58" xfId="1040" xr:uid="{00000000-0005-0000-0000-000003040000}"/>
    <cellStyle name="Accent6 59" xfId="1041" xr:uid="{00000000-0005-0000-0000-000004040000}"/>
    <cellStyle name="Accent6 6" xfId="1042" xr:uid="{00000000-0005-0000-0000-000005040000}"/>
    <cellStyle name="Accent6 60" xfId="1043" xr:uid="{00000000-0005-0000-0000-000006040000}"/>
    <cellStyle name="Accent6 61" xfId="1044" xr:uid="{00000000-0005-0000-0000-000007040000}"/>
    <cellStyle name="Accent6 62" xfId="1045" xr:uid="{00000000-0005-0000-0000-000008040000}"/>
    <cellStyle name="Accent6 63" xfId="1046" xr:uid="{00000000-0005-0000-0000-000009040000}"/>
    <cellStyle name="Accent6 64" xfId="1047" xr:uid="{00000000-0005-0000-0000-00000A040000}"/>
    <cellStyle name="Accent6 65" xfId="1048" xr:uid="{00000000-0005-0000-0000-00000B040000}"/>
    <cellStyle name="Accent6 66" xfId="1049" xr:uid="{00000000-0005-0000-0000-00000C040000}"/>
    <cellStyle name="Accent6 67" xfId="1050" xr:uid="{00000000-0005-0000-0000-00000D040000}"/>
    <cellStyle name="Accent6 68" xfId="1051" xr:uid="{00000000-0005-0000-0000-00000E040000}"/>
    <cellStyle name="Accent6 69" xfId="1052" xr:uid="{00000000-0005-0000-0000-00000F040000}"/>
    <cellStyle name="Accent6 7" xfId="1053" xr:uid="{00000000-0005-0000-0000-000010040000}"/>
    <cellStyle name="Accent6 70" xfId="1054" xr:uid="{00000000-0005-0000-0000-000011040000}"/>
    <cellStyle name="Accent6 71" xfId="1055" xr:uid="{00000000-0005-0000-0000-000012040000}"/>
    <cellStyle name="Accent6 72" xfId="1056" xr:uid="{00000000-0005-0000-0000-000013040000}"/>
    <cellStyle name="Accent6 73" xfId="1057" xr:uid="{00000000-0005-0000-0000-000014040000}"/>
    <cellStyle name="Accent6 74" xfId="1058" xr:uid="{00000000-0005-0000-0000-000015040000}"/>
    <cellStyle name="Accent6 75" xfId="1059" xr:uid="{00000000-0005-0000-0000-000016040000}"/>
    <cellStyle name="Accent6 76" xfId="1060" xr:uid="{00000000-0005-0000-0000-000017040000}"/>
    <cellStyle name="Accent6 77" xfId="1061" xr:uid="{00000000-0005-0000-0000-000018040000}"/>
    <cellStyle name="Accent6 78" xfId="1062" xr:uid="{00000000-0005-0000-0000-000019040000}"/>
    <cellStyle name="Accent6 79" xfId="1063" xr:uid="{00000000-0005-0000-0000-00001A040000}"/>
    <cellStyle name="Accent6 8" xfId="1064" xr:uid="{00000000-0005-0000-0000-00001B040000}"/>
    <cellStyle name="Accent6 80" xfId="1065" xr:uid="{00000000-0005-0000-0000-00001C040000}"/>
    <cellStyle name="Accent6 9" xfId="1066" xr:uid="{00000000-0005-0000-0000-00001D040000}"/>
    <cellStyle name="Accounting Underline" xfId="1067" xr:uid="{00000000-0005-0000-0000-00001E040000}"/>
    <cellStyle name="Accounting Underline 2" xfId="28204" xr:uid="{00000000-0005-0000-0000-00001F040000}"/>
    <cellStyle name="Accounting w/$" xfId="1068" xr:uid="{00000000-0005-0000-0000-000020040000}"/>
    <cellStyle name="Accounting w/$ Total" xfId="1069" xr:uid="{00000000-0005-0000-0000-000021040000}"/>
    <cellStyle name="Accounting w/o $" xfId="1070" xr:uid="{00000000-0005-0000-0000-000022040000}"/>
    <cellStyle name="Accounting w/o $ 2" xfId="28205" xr:uid="{00000000-0005-0000-0000-000023040000}"/>
    <cellStyle name="Acct $0.0" xfId="1071" xr:uid="{00000000-0005-0000-0000-000024040000}"/>
    <cellStyle name="Acct 0.0" xfId="1072" xr:uid="{00000000-0005-0000-0000-000025040000}"/>
    <cellStyle name="Across" xfId="1073" xr:uid="{00000000-0005-0000-0000-000026040000}"/>
    <cellStyle name="Actual Date" xfId="1074" xr:uid="{00000000-0005-0000-0000-000027040000}"/>
    <cellStyle name="actuals" xfId="1075" xr:uid="{00000000-0005-0000-0000-000028040000}"/>
    <cellStyle name="adj_share" xfId="1076" xr:uid="{00000000-0005-0000-0000-000029040000}"/>
    <cellStyle name="AFE" xfId="1077" xr:uid="{00000000-0005-0000-0000-00002A040000}"/>
    <cellStyle name="Afjusted" xfId="1078" xr:uid="{00000000-0005-0000-0000-00002B040000}"/>
    <cellStyle name="Afrundet valuta_Slideshow" xfId="1079" xr:uid="{00000000-0005-0000-0000-00002C040000}"/>
    <cellStyle name="ales" xfId="1080" xr:uid="{00000000-0005-0000-0000-00002D040000}"/>
    <cellStyle name="Amount_EQU_RIGH.XLS_Equity market_Preferred Securities " xfId="1081" xr:uid="{00000000-0005-0000-0000-00002E040000}"/>
    <cellStyle name="args.style" xfId="1082" xr:uid="{00000000-0005-0000-0000-00002F040000}"/>
    <cellStyle name="Arial 10" xfId="1083" xr:uid="{00000000-0005-0000-0000-000030040000}"/>
    <cellStyle name="Arial 12" xfId="1084" xr:uid="{00000000-0005-0000-0000-000031040000}"/>
    <cellStyle name="Array" xfId="1085" xr:uid="{00000000-0005-0000-0000-000032040000}"/>
    <cellStyle name="Array 2" xfId="27865" xr:uid="{00000000-0005-0000-0000-000033040000}"/>
    <cellStyle name="Array 2 2" xfId="27955" xr:uid="{00000000-0005-0000-0000-000034040000}"/>
    <cellStyle name="Array 2 2 2" xfId="28183" xr:uid="{00000000-0005-0000-0000-000035040000}"/>
    <cellStyle name="Array 2 3" xfId="28188" xr:uid="{00000000-0005-0000-0000-000036040000}"/>
    <cellStyle name="Array Enter" xfId="1086" xr:uid="{00000000-0005-0000-0000-000037040000}"/>
    <cellStyle name="Array Enter 2" xfId="27866" xr:uid="{00000000-0005-0000-0000-000038040000}"/>
    <cellStyle name="Array Enter 2 2" xfId="27956" xr:uid="{00000000-0005-0000-0000-000039040000}"/>
    <cellStyle name="Array Enter 2 2 2" xfId="28182" xr:uid="{00000000-0005-0000-0000-00003A040000}"/>
    <cellStyle name="Array Enter 2 3" xfId="28189" xr:uid="{00000000-0005-0000-0000-00003B040000}"/>
    <cellStyle name="Arrow" xfId="1087" xr:uid="{00000000-0005-0000-0000-00003C040000}"/>
    <cellStyle name="assumption" xfId="1088" xr:uid="{00000000-0005-0000-0000-00003D040000}"/>
    <cellStyle name="assumption 2" xfId="1089" xr:uid="{00000000-0005-0000-0000-00003E040000}"/>
    <cellStyle name="auf tausender" xfId="1090" xr:uid="{00000000-0005-0000-0000-00003F040000}"/>
    <cellStyle name="AxeHor" xfId="1091" xr:uid="{00000000-0005-0000-0000-000040040000}"/>
    <cellStyle name="b" xfId="1092" xr:uid="{00000000-0005-0000-0000-000041040000}"/>
    <cellStyle name="b'" xfId="1093" xr:uid="{00000000-0005-0000-0000-000042040000}"/>
    <cellStyle name="B_IHI calcs v13" xfId="1094" xr:uid="{00000000-0005-0000-0000-000043040000}"/>
    <cellStyle name="B_IHI calcs v13_Luna - Debt paydown" xfId="1095" xr:uid="{00000000-0005-0000-0000-000044040000}"/>
    <cellStyle name="B_IHI calcs v13_Net Debt 260609 - 1922 numbers - revised" xfId="1096" xr:uid="{00000000-0005-0000-0000-000045040000}"/>
    <cellStyle name="B_IHI calcs v13_NWC" xfId="1097" xr:uid="{00000000-0005-0000-0000-000046040000}"/>
    <cellStyle name="b_Luna - Operating model - July 19_VTB_v2" xfId="1098" xr:uid="{00000000-0005-0000-0000-000047040000}"/>
    <cellStyle name="b_Revised cash" xfId="1099" xr:uid="{00000000-0005-0000-0000-000048040000}"/>
    <cellStyle name="Bad 10" xfId="1100" xr:uid="{00000000-0005-0000-0000-000049040000}"/>
    <cellStyle name="Bad 11" xfId="1101" xr:uid="{00000000-0005-0000-0000-00004A040000}"/>
    <cellStyle name="Bad 12" xfId="1102" xr:uid="{00000000-0005-0000-0000-00004B040000}"/>
    <cellStyle name="Bad 13" xfId="1103" xr:uid="{00000000-0005-0000-0000-00004C040000}"/>
    <cellStyle name="Bad 14" xfId="1104" xr:uid="{00000000-0005-0000-0000-00004D040000}"/>
    <cellStyle name="Bad 15" xfId="1105" xr:uid="{00000000-0005-0000-0000-00004E040000}"/>
    <cellStyle name="Bad 16" xfId="1106" xr:uid="{00000000-0005-0000-0000-00004F040000}"/>
    <cellStyle name="Bad 17" xfId="1107" xr:uid="{00000000-0005-0000-0000-000050040000}"/>
    <cellStyle name="Bad 18" xfId="1108" xr:uid="{00000000-0005-0000-0000-000051040000}"/>
    <cellStyle name="Bad 19" xfId="1109" xr:uid="{00000000-0005-0000-0000-000052040000}"/>
    <cellStyle name="Bad 2" xfId="1110" xr:uid="{00000000-0005-0000-0000-000053040000}"/>
    <cellStyle name="Bad 20" xfId="1111" xr:uid="{00000000-0005-0000-0000-000054040000}"/>
    <cellStyle name="Bad 21" xfId="1112" xr:uid="{00000000-0005-0000-0000-000055040000}"/>
    <cellStyle name="Bad 22" xfId="1113" xr:uid="{00000000-0005-0000-0000-000056040000}"/>
    <cellStyle name="Bad 23" xfId="1114" xr:uid="{00000000-0005-0000-0000-000057040000}"/>
    <cellStyle name="Bad 24" xfId="1115" xr:uid="{00000000-0005-0000-0000-000058040000}"/>
    <cellStyle name="Bad 25" xfId="1116" xr:uid="{00000000-0005-0000-0000-000059040000}"/>
    <cellStyle name="Bad 26" xfId="1117" xr:uid="{00000000-0005-0000-0000-00005A040000}"/>
    <cellStyle name="Bad 27" xfId="1118" xr:uid="{00000000-0005-0000-0000-00005B040000}"/>
    <cellStyle name="Bad 28" xfId="1119" xr:uid="{00000000-0005-0000-0000-00005C040000}"/>
    <cellStyle name="Bad 29" xfId="1120" xr:uid="{00000000-0005-0000-0000-00005D040000}"/>
    <cellStyle name="Bad 3" xfId="1121" xr:uid="{00000000-0005-0000-0000-00005E040000}"/>
    <cellStyle name="Bad 30" xfId="1122" xr:uid="{00000000-0005-0000-0000-00005F040000}"/>
    <cellStyle name="Bad 31" xfId="1123" xr:uid="{00000000-0005-0000-0000-000060040000}"/>
    <cellStyle name="Bad 32" xfId="1124" xr:uid="{00000000-0005-0000-0000-000061040000}"/>
    <cellStyle name="Bad 33" xfId="1125" xr:uid="{00000000-0005-0000-0000-000062040000}"/>
    <cellStyle name="Bad 34" xfId="1126" xr:uid="{00000000-0005-0000-0000-000063040000}"/>
    <cellStyle name="Bad 35" xfId="1127" xr:uid="{00000000-0005-0000-0000-000064040000}"/>
    <cellStyle name="Bad 36" xfId="1128" xr:uid="{00000000-0005-0000-0000-000065040000}"/>
    <cellStyle name="Bad 37" xfId="1129" xr:uid="{00000000-0005-0000-0000-000066040000}"/>
    <cellStyle name="Bad 38" xfId="1130" xr:uid="{00000000-0005-0000-0000-000067040000}"/>
    <cellStyle name="Bad 39" xfId="1131" xr:uid="{00000000-0005-0000-0000-000068040000}"/>
    <cellStyle name="Bad 4" xfId="1132" xr:uid="{00000000-0005-0000-0000-000069040000}"/>
    <cellStyle name="Bad 40" xfId="1133" xr:uid="{00000000-0005-0000-0000-00006A040000}"/>
    <cellStyle name="Bad 41" xfId="1134" xr:uid="{00000000-0005-0000-0000-00006B040000}"/>
    <cellStyle name="Bad 42" xfId="1135" xr:uid="{00000000-0005-0000-0000-00006C040000}"/>
    <cellStyle name="Bad 43" xfId="1136" xr:uid="{00000000-0005-0000-0000-00006D040000}"/>
    <cellStyle name="Bad 44" xfId="1137" xr:uid="{00000000-0005-0000-0000-00006E040000}"/>
    <cellStyle name="Bad 45" xfId="1138" xr:uid="{00000000-0005-0000-0000-00006F040000}"/>
    <cellStyle name="Bad 46" xfId="1139" xr:uid="{00000000-0005-0000-0000-000070040000}"/>
    <cellStyle name="Bad 47" xfId="1140" xr:uid="{00000000-0005-0000-0000-000071040000}"/>
    <cellStyle name="Bad 48" xfId="1141" xr:uid="{00000000-0005-0000-0000-000072040000}"/>
    <cellStyle name="Bad 49" xfId="1142" xr:uid="{00000000-0005-0000-0000-000073040000}"/>
    <cellStyle name="Bad 5" xfId="1143" xr:uid="{00000000-0005-0000-0000-000074040000}"/>
    <cellStyle name="Bad 50" xfId="1144" xr:uid="{00000000-0005-0000-0000-000075040000}"/>
    <cellStyle name="Bad 51" xfId="1145" xr:uid="{00000000-0005-0000-0000-000076040000}"/>
    <cellStyle name="Bad 52" xfId="1146" xr:uid="{00000000-0005-0000-0000-000077040000}"/>
    <cellStyle name="Bad 53" xfId="1147" xr:uid="{00000000-0005-0000-0000-000078040000}"/>
    <cellStyle name="Bad 54" xfId="1148" xr:uid="{00000000-0005-0000-0000-000079040000}"/>
    <cellStyle name="Bad 55" xfId="1149" xr:uid="{00000000-0005-0000-0000-00007A040000}"/>
    <cellStyle name="Bad 56" xfId="1150" xr:uid="{00000000-0005-0000-0000-00007B040000}"/>
    <cellStyle name="Bad 57" xfId="1151" xr:uid="{00000000-0005-0000-0000-00007C040000}"/>
    <cellStyle name="Bad 58" xfId="1152" xr:uid="{00000000-0005-0000-0000-00007D040000}"/>
    <cellStyle name="Bad 59" xfId="1153" xr:uid="{00000000-0005-0000-0000-00007E040000}"/>
    <cellStyle name="Bad 6" xfId="1154" xr:uid="{00000000-0005-0000-0000-00007F040000}"/>
    <cellStyle name="Bad 60" xfId="1155" xr:uid="{00000000-0005-0000-0000-000080040000}"/>
    <cellStyle name="Bad 61" xfId="1156" xr:uid="{00000000-0005-0000-0000-000081040000}"/>
    <cellStyle name="Bad 62" xfId="1157" xr:uid="{00000000-0005-0000-0000-000082040000}"/>
    <cellStyle name="Bad 63" xfId="1158" xr:uid="{00000000-0005-0000-0000-000083040000}"/>
    <cellStyle name="Bad 64" xfId="1159" xr:uid="{00000000-0005-0000-0000-000084040000}"/>
    <cellStyle name="Bad 65" xfId="1160" xr:uid="{00000000-0005-0000-0000-000085040000}"/>
    <cellStyle name="Bad 66" xfId="1161" xr:uid="{00000000-0005-0000-0000-000086040000}"/>
    <cellStyle name="Bad 67" xfId="1162" xr:uid="{00000000-0005-0000-0000-000087040000}"/>
    <cellStyle name="Bad 68" xfId="1163" xr:uid="{00000000-0005-0000-0000-000088040000}"/>
    <cellStyle name="Bad 69" xfId="1164" xr:uid="{00000000-0005-0000-0000-000089040000}"/>
    <cellStyle name="Bad 7" xfId="1165" xr:uid="{00000000-0005-0000-0000-00008A040000}"/>
    <cellStyle name="Bad 70" xfId="1166" xr:uid="{00000000-0005-0000-0000-00008B040000}"/>
    <cellStyle name="Bad 71" xfId="1167" xr:uid="{00000000-0005-0000-0000-00008C040000}"/>
    <cellStyle name="Bad 72" xfId="1168" xr:uid="{00000000-0005-0000-0000-00008D040000}"/>
    <cellStyle name="Bad 73" xfId="1169" xr:uid="{00000000-0005-0000-0000-00008E040000}"/>
    <cellStyle name="Bad 74" xfId="1170" xr:uid="{00000000-0005-0000-0000-00008F040000}"/>
    <cellStyle name="Bad 75" xfId="1171" xr:uid="{00000000-0005-0000-0000-000090040000}"/>
    <cellStyle name="Bad 76" xfId="1172" xr:uid="{00000000-0005-0000-0000-000091040000}"/>
    <cellStyle name="Bad 77" xfId="1173" xr:uid="{00000000-0005-0000-0000-000092040000}"/>
    <cellStyle name="Bad 78" xfId="1174" xr:uid="{00000000-0005-0000-0000-000093040000}"/>
    <cellStyle name="Bad 79" xfId="1175" xr:uid="{00000000-0005-0000-0000-000094040000}"/>
    <cellStyle name="Bad 8" xfId="1176" xr:uid="{00000000-0005-0000-0000-000095040000}"/>
    <cellStyle name="Bad 9" xfId="1177" xr:uid="{00000000-0005-0000-0000-000096040000}"/>
    <cellStyle name="Balance Sheet" xfId="1178" xr:uid="{00000000-0005-0000-0000-000097040000}"/>
    <cellStyle name="balance_sheet" xfId="1179" xr:uid="{00000000-0005-0000-0000-000098040000}"/>
    <cellStyle name="BalanceSheet" xfId="1180" xr:uid="{00000000-0005-0000-0000-000099040000}"/>
    <cellStyle name="bbot" xfId="1181" xr:uid="{00000000-0005-0000-0000-00009A040000}"/>
    <cellStyle name="bl" xfId="1182" xr:uid="{00000000-0005-0000-0000-00009B040000}"/>
    <cellStyle name="black" xfId="1183" xr:uid="{00000000-0005-0000-0000-00009C040000}"/>
    <cellStyle name="BlackStrike" xfId="1184" xr:uid="{00000000-0005-0000-0000-00009D040000}"/>
    <cellStyle name="BlackText" xfId="1185" xr:uid="{00000000-0005-0000-0000-00009E040000}"/>
    <cellStyle name="Blank" xfId="1186" xr:uid="{00000000-0005-0000-0000-00009F040000}"/>
    <cellStyle name="blu" xfId="1187" xr:uid="{00000000-0005-0000-0000-0000A0040000}"/>
    <cellStyle name="Blue" xfId="1188" xr:uid="{00000000-0005-0000-0000-0000A1040000}"/>
    <cellStyle name="blue$00" xfId="1189" xr:uid="{00000000-0005-0000-0000-0000A2040000}"/>
    <cellStyle name="blue_Biomet Valuation - 4Q10" xfId="1190" xr:uid="{00000000-0005-0000-0000-0000A3040000}"/>
    <cellStyle name="BLuedashZero" xfId="1191" xr:uid="{00000000-0005-0000-0000-0000A4040000}"/>
    <cellStyle name="bluenodec" xfId="1192" xr:uid="{00000000-0005-0000-0000-0000A5040000}"/>
    <cellStyle name="bluepercent" xfId="1193" xr:uid="{00000000-0005-0000-0000-0000A6040000}"/>
    <cellStyle name="BM Static Input" xfId="1194" xr:uid="{00000000-0005-0000-0000-0000A7040000}"/>
    <cellStyle name="Body_$Dollars" xfId="1195" xr:uid="{00000000-0005-0000-0000-0000A8040000}"/>
    <cellStyle name="Bold Border" xfId="1196" xr:uid="{00000000-0005-0000-0000-0000A9040000}"/>
    <cellStyle name="Bold line items" xfId="1197" xr:uid="{00000000-0005-0000-0000-0000AA040000}"/>
    <cellStyle name="Bold Output Amounts" xfId="1198" xr:uid="{00000000-0005-0000-0000-0000AB040000}"/>
    <cellStyle name="Bold Output Line Items" xfId="1199" xr:uid="{00000000-0005-0000-0000-0000AC040000}"/>
    <cellStyle name="Bold/Border" xfId="1200" xr:uid="{00000000-0005-0000-0000-0000AD040000}"/>
    <cellStyle name="BoldText" xfId="1201" xr:uid="{00000000-0005-0000-0000-0000AE040000}"/>
    <cellStyle name="bor" xfId="1202" xr:uid="{00000000-0005-0000-0000-0000AF040000}"/>
    <cellStyle name="Border" xfId="1203" xr:uid="{00000000-0005-0000-0000-0000B0040000}"/>
    <cellStyle name="Border 2" xfId="1204" xr:uid="{00000000-0005-0000-0000-0000B1040000}"/>
    <cellStyle name="Border 2 2" xfId="1205" xr:uid="{00000000-0005-0000-0000-0000B2040000}"/>
    <cellStyle name="Border 2 2 2" xfId="1206" xr:uid="{00000000-0005-0000-0000-0000B3040000}"/>
    <cellStyle name="Border 2 2 3" xfId="1207" xr:uid="{00000000-0005-0000-0000-0000B4040000}"/>
    <cellStyle name="Border 2 3" xfId="1208" xr:uid="{00000000-0005-0000-0000-0000B5040000}"/>
    <cellStyle name="Border 2 4" xfId="1209" xr:uid="{00000000-0005-0000-0000-0000B6040000}"/>
    <cellStyle name="Border 3" xfId="1210" xr:uid="{00000000-0005-0000-0000-0000B7040000}"/>
    <cellStyle name="Border 3 2" xfId="1211" xr:uid="{00000000-0005-0000-0000-0000B8040000}"/>
    <cellStyle name="Border 3 3" xfId="1212" xr:uid="{00000000-0005-0000-0000-0000B9040000}"/>
    <cellStyle name="Border 4" xfId="1213" xr:uid="{00000000-0005-0000-0000-0000BA040000}"/>
    <cellStyle name="Border 5" xfId="1214" xr:uid="{00000000-0005-0000-0000-0000BB040000}"/>
    <cellStyle name="Border Heavy" xfId="1215" xr:uid="{00000000-0005-0000-0000-0000BC040000}"/>
    <cellStyle name="Border Thin" xfId="1216" xr:uid="{00000000-0005-0000-0000-0000BD040000}"/>
    <cellStyle name="Border_Pioneer Charts 10.14.03" xfId="1217" xr:uid="{00000000-0005-0000-0000-0000BE040000}"/>
    <cellStyle name="bot" xfId="1218" xr:uid="{00000000-0005-0000-0000-0000BF040000}"/>
    <cellStyle name="Bottom" xfId="1219" xr:uid="{00000000-0005-0000-0000-0000C0040000}"/>
    <cellStyle name="Bottom bold border" xfId="1220" xr:uid="{00000000-0005-0000-0000-0000C1040000}"/>
    <cellStyle name="Bottom single border" xfId="1221" xr:uid="{00000000-0005-0000-0000-0000C2040000}"/>
    <cellStyle name="Brand Align Left Text" xfId="1222" xr:uid="{00000000-0005-0000-0000-0000C3040000}"/>
    <cellStyle name="Brand Default" xfId="1223" xr:uid="{00000000-0005-0000-0000-0000C4040000}"/>
    <cellStyle name="Brand Percent" xfId="1224" xr:uid="{00000000-0005-0000-0000-0000C5040000}"/>
    <cellStyle name="Brand Source" xfId="1225" xr:uid="{00000000-0005-0000-0000-0000C6040000}"/>
    <cellStyle name="Brand Subtitle with Underline" xfId="1226" xr:uid="{00000000-0005-0000-0000-0000C7040000}"/>
    <cellStyle name="Brand Subtitle without Underline" xfId="1227" xr:uid="{00000000-0005-0000-0000-0000C8040000}"/>
    <cellStyle name="Brand Title" xfId="1228" xr:uid="{00000000-0005-0000-0000-0000C9040000}"/>
    <cellStyle name="British Pound" xfId="1229" xr:uid="{00000000-0005-0000-0000-0000CA040000}"/>
    <cellStyle name="Brooks" xfId="1230" xr:uid="{00000000-0005-0000-0000-0000CB040000}"/>
    <cellStyle name="bt" xfId="1231" xr:uid="{00000000-0005-0000-0000-0000CC040000}"/>
    <cellStyle name="Bullet" xfId="1232" xr:uid="{00000000-0005-0000-0000-0000CD040000}"/>
    <cellStyle name="But" xfId="1233" xr:uid="{00000000-0005-0000-0000-0000CE040000}"/>
    <cellStyle name="BvDAddIn_Currency" xfId="1234" xr:uid="{00000000-0005-0000-0000-0000CF040000}"/>
    <cellStyle name="c" xfId="1235" xr:uid="{00000000-0005-0000-0000-0000D0040000}"/>
    <cellStyle name="c," xfId="1236" xr:uid="{00000000-0005-0000-0000-0000D1040000}"/>
    <cellStyle name="c,." xfId="1237" xr:uid="{00000000-0005-0000-0000-0000D2040000}"/>
    <cellStyle name="c,_Cable Valuation v5" xfId="1238" xr:uid="{00000000-0005-0000-0000-0000D3040000}"/>
    <cellStyle name="c,1" xfId="1239" xr:uid="{00000000-0005-0000-0000-0000D4040000}"/>
    <cellStyle name="c_{9.01.01} Project Motorhead Model" xfId="1240" xr:uid="{00000000-0005-0000-0000-0000D5040000}"/>
    <cellStyle name="c_Acc (Dil) Matrix (2)" xfId="1241" xr:uid="{00000000-0005-0000-0000-0000D6040000}"/>
    <cellStyle name="c_Ariz_Nevada (2)" xfId="1242" xr:uid="{00000000-0005-0000-0000-0000D7040000}"/>
    <cellStyle name="c_backup 122403 (CBarrett 12.24.03 3pm)" xfId="1243" xr:uid="{00000000-0005-0000-0000-0000D8040000}"/>
    <cellStyle name="c_backup 122903" xfId="1244" xr:uid="{00000000-0005-0000-0000-0000D9040000}"/>
    <cellStyle name="c_Biomet Valuation - 4Q10" xfId="1245" xr:uid="{00000000-0005-0000-0000-0000DA040000}"/>
    <cellStyle name="c_Book5" xfId="1246" xr:uid="{00000000-0005-0000-0000-0000DB040000}"/>
    <cellStyle name="c_CA Cases (2)" xfId="1247" xr:uid="{00000000-0005-0000-0000-0000DC040000}"/>
    <cellStyle name="c_Cal. (2)" xfId="1248" xr:uid="{00000000-0005-0000-0000-0000DD040000}"/>
    <cellStyle name="c_Cases (2)" xfId="1249" xr:uid="{00000000-0005-0000-0000-0000DE040000}"/>
    <cellStyle name="c_Celtic DCF" xfId="1250" xr:uid="{00000000-0005-0000-0000-0000DF040000}"/>
    <cellStyle name="c_Celtic DCF Inputs" xfId="1251" xr:uid="{00000000-0005-0000-0000-0000E0040000}"/>
    <cellStyle name="c_Credit Buildup (2)" xfId="1252" xr:uid="{00000000-0005-0000-0000-0000E1040000}"/>
    <cellStyle name="c_CredSens" xfId="1253" xr:uid="{00000000-0005-0000-0000-0000E2040000}"/>
    <cellStyle name="c_DCF Inputs (2)" xfId="1254" xr:uid="{00000000-0005-0000-0000-0000E3040000}"/>
    <cellStyle name="c_DCF Matrix (2)" xfId="1255" xr:uid="{00000000-0005-0000-0000-0000E4040000}"/>
    <cellStyle name="c_Deal" xfId="1256" xr:uid="{00000000-0005-0000-0000-0000E5040000}"/>
    <cellStyle name="c_Dental (2)" xfId="1257" xr:uid="{00000000-0005-0000-0000-0000E6040000}"/>
    <cellStyle name="c_East Coast (2)" xfId="1258" xr:uid="{00000000-0005-0000-0000-0000E7040000}"/>
    <cellStyle name="c_Florida (2)" xfId="1259" xr:uid="{00000000-0005-0000-0000-0000E8040000}"/>
    <cellStyle name="c_Georgia (2)" xfId="1260" xr:uid="{00000000-0005-0000-0000-0000E9040000}"/>
    <cellStyle name="c_Hard Rock" xfId="1261" xr:uid="{00000000-0005-0000-0000-0000EA040000}"/>
    <cellStyle name="c_Hard Rock (2)" xfId="1262" xr:uid="{00000000-0005-0000-0000-0000EB040000}"/>
    <cellStyle name="c_HardInc " xfId="1263" xr:uid="{00000000-0005-0000-0000-0000EC040000}"/>
    <cellStyle name="c_HardInc  (2)" xfId="1264" xr:uid="{00000000-0005-0000-0000-0000ED040000}"/>
    <cellStyle name="c_Has-Gets (2)" xfId="1265" xr:uid="{00000000-0005-0000-0000-0000EE040000}"/>
    <cellStyle name="c_Inputs" xfId="1266" xr:uid="{00000000-0005-0000-0000-0000EF040000}"/>
    <cellStyle name="c_IRR Sensitivity (2)" xfId="1267" xr:uid="{00000000-0005-0000-0000-0000F0040000}"/>
    <cellStyle name="c_Kimono v25" xfId="1268" xr:uid="{00000000-0005-0000-0000-0000F1040000}"/>
    <cellStyle name="c_Macros" xfId="1269" xr:uid="{00000000-0005-0000-0000-0000F2040000}"/>
    <cellStyle name="c_Mango Merger" xfId="1270" xr:uid="{00000000-0005-0000-0000-0000F3040000}"/>
    <cellStyle name="c_Mango Merger 3" xfId="1271" xr:uid="{00000000-0005-0000-0000-0000F4040000}"/>
    <cellStyle name="c_Model Assumptions (2)" xfId="1272" xr:uid="{00000000-0005-0000-0000-0000F5040000}"/>
    <cellStyle name="c_OBGYN (2)" xfId="1273" xr:uid="{00000000-0005-0000-0000-0000F6040000}"/>
    <cellStyle name="c_Other Businesses (2)" xfId="1274" xr:uid="{00000000-0005-0000-0000-0000F7040000}"/>
    <cellStyle name="c_Ownership" xfId="1275" xr:uid="{00000000-0005-0000-0000-0000F8040000}"/>
    <cellStyle name="c_PFMA Income (2)" xfId="1276" xr:uid="{00000000-0005-0000-0000-0000F9040000}"/>
    <cellStyle name="c_Pippen (2)" xfId="1277" xr:uid="{00000000-0005-0000-0000-0000FA040000}"/>
    <cellStyle name="c_Pippen Cases (2)" xfId="1278" xr:uid="{00000000-0005-0000-0000-0000FB040000}"/>
    <cellStyle name="c_Pippen ValMatrix (2)" xfId="1279" xr:uid="{00000000-0005-0000-0000-0000FC040000}"/>
    <cellStyle name="c_PMAT (2)" xfId="1280" xr:uid="{00000000-0005-0000-0000-0000FD040000}"/>
    <cellStyle name="c_PMAT (3)" xfId="1281" xr:uid="{00000000-0005-0000-0000-0000FE040000}"/>
    <cellStyle name="c_PoundInc" xfId="1282" xr:uid="{00000000-0005-0000-0000-0000FF040000}"/>
    <cellStyle name="c_PoundInc (2)" xfId="1283" xr:uid="{00000000-0005-0000-0000-000000050000}"/>
    <cellStyle name="c_Poundstone (2)" xfId="1284" xr:uid="{00000000-0005-0000-0000-000001050000}"/>
    <cellStyle name="c_Preliminary Poundstone (2)" xfId="1285" xr:uid="{00000000-0005-0000-0000-000002050000}"/>
    <cellStyle name="c_Projection Summary 9_26-05" xfId="1286" xr:uid="{00000000-0005-0000-0000-000003050000}"/>
    <cellStyle name="c_RushValSum (2)" xfId="1287" xr:uid="{00000000-0005-0000-0000-000004050000}"/>
    <cellStyle name="c_Stub Value" xfId="1288" xr:uid="{00000000-0005-0000-0000-000005050000}"/>
    <cellStyle name="c_Summary of Pro Forma (2)" xfId="1289" xr:uid="{00000000-0005-0000-0000-000006050000}"/>
    <cellStyle name="c_Summary of Pro Forma (3)" xfId="1290" xr:uid="{00000000-0005-0000-0000-000007050000}"/>
    <cellStyle name="c_Texas_Louisiana (2)" xfId="1291" xr:uid="{00000000-0005-0000-0000-000008050000}"/>
    <cellStyle name="c_Timex-Gucci Merger2" xfId="1292" xr:uid="{00000000-0005-0000-0000-000009050000}"/>
    <cellStyle name="c_Valuation Summary" xfId="1293" xr:uid="{00000000-0005-0000-0000-00000A050000}"/>
    <cellStyle name="c_Valuation Summary (2)" xfId="1294" xr:uid="{00000000-0005-0000-0000-00000B050000}"/>
    <cellStyle name="c_Warrant" xfId="1295" xr:uid="{00000000-0005-0000-0000-00000C050000}"/>
    <cellStyle name="c`" xfId="1296" xr:uid="{00000000-0005-0000-0000-00000D050000}"/>
    <cellStyle name="c`1" xfId="1297" xr:uid="{00000000-0005-0000-0000-00000E050000}"/>
    <cellStyle name="C00A" xfId="1298" xr:uid="{00000000-0005-0000-0000-00000F050000}"/>
    <cellStyle name="C00B" xfId="1299" xr:uid="{00000000-0005-0000-0000-000010050000}"/>
    <cellStyle name="C00L" xfId="1300" xr:uid="{00000000-0005-0000-0000-000011050000}"/>
    <cellStyle name="C01A" xfId="1301" xr:uid="{00000000-0005-0000-0000-000012050000}"/>
    <cellStyle name="C01B" xfId="1302" xr:uid="{00000000-0005-0000-0000-000013050000}"/>
    <cellStyle name="C01B 2" xfId="1303" xr:uid="{00000000-0005-0000-0000-000014050000}"/>
    <cellStyle name="C01H" xfId="1304" xr:uid="{00000000-0005-0000-0000-000015050000}"/>
    <cellStyle name="C01L" xfId="1305" xr:uid="{00000000-0005-0000-0000-000016050000}"/>
    <cellStyle name="C02A" xfId="1306" xr:uid="{00000000-0005-0000-0000-000017050000}"/>
    <cellStyle name="C02A 2" xfId="1307" xr:uid="{00000000-0005-0000-0000-000018050000}"/>
    <cellStyle name="C02A 2 2" xfId="1308" xr:uid="{00000000-0005-0000-0000-000019050000}"/>
    <cellStyle name="C02A 2 2 2" xfId="1309" xr:uid="{00000000-0005-0000-0000-00001A050000}"/>
    <cellStyle name="C02A 2 2 3" xfId="1310" xr:uid="{00000000-0005-0000-0000-00001B050000}"/>
    <cellStyle name="C02A 2 3" xfId="1311" xr:uid="{00000000-0005-0000-0000-00001C050000}"/>
    <cellStyle name="C02A 2 4" xfId="1312" xr:uid="{00000000-0005-0000-0000-00001D050000}"/>
    <cellStyle name="C02A 3" xfId="1313" xr:uid="{00000000-0005-0000-0000-00001E050000}"/>
    <cellStyle name="C02A 3 2" xfId="1314" xr:uid="{00000000-0005-0000-0000-00001F050000}"/>
    <cellStyle name="C02A 3 3" xfId="1315" xr:uid="{00000000-0005-0000-0000-000020050000}"/>
    <cellStyle name="C02A 4" xfId="1316" xr:uid="{00000000-0005-0000-0000-000021050000}"/>
    <cellStyle name="C02A 5" xfId="1317" xr:uid="{00000000-0005-0000-0000-000022050000}"/>
    <cellStyle name="C02B" xfId="1318" xr:uid="{00000000-0005-0000-0000-000023050000}"/>
    <cellStyle name="C02B 2" xfId="1319" xr:uid="{00000000-0005-0000-0000-000024050000}"/>
    <cellStyle name="C02H" xfId="1320" xr:uid="{00000000-0005-0000-0000-000025050000}"/>
    <cellStyle name="C02L" xfId="1321" xr:uid="{00000000-0005-0000-0000-000026050000}"/>
    <cellStyle name="C03A" xfId="1322" xr:uid="{00000000-0005-0000-0000-000027050000}"/>
    <cellStyle name="C03B" xfId="1323" xr:uid="{00000000-0005-0000-0000-000028050000}"/>
    <cellStyle name="C03H" xfId="1324" xr:uid="{00000000-0005-0000-0000-000029050000}"/>
    <cellStyle name="C03L" xfId="1325" xr:uid="{00000000-0005-0000-0000-00002A050000}"/>
    <cellStyle name="C04A" xfId="1326" xr:uid="{00000000-0005-0000-0000-00002B050000}"/>
    <cellStyle name="C04A 2" xfId="1327" xr:uid="{00000000-0005-0000-0000-00002C050000}"/>
    <cellStyle name="C04B" xfId="1328" xr:uid="{00000000-0005-0000-0000-00002D050000}"/>
    <cellStyle name="C04H" xfId="1329" xr:uid="{00000000-0005-0000-0000-00002E050000}"/>
    <cellStyle name="C04L" xfId="1330" xr:uid="{00000000-0005-0000-0000-00002F050000}"/>
    <cellStyle name="C05A" xfId="1331" xr:uid="{00000000-0005-0000-0000-000030050000}"/>
    <cellStyle name="C05B" xfId="1332" xr:uid="{00000000-0005-0000-0000-000031050000}"/>
    <cellStyle name="C05H" xfId="1333" xr:uid="{00000000-0005-0000-0000-000032050000}"/>
    <cellStyle name="C05L" xfId="1334" xr:uid="{00000000-0005-0000-0000-000033050000}"/>
    <cellStyle name="C06A" xfId="1335" xr:uid="{00000000-0005-0000-0000-000034050000}"/>
    <cellStyle name="C06B" xfId="1336" xr:uid="{00000000-0005-0000-0000-000035050000}"/>
    <cellStyle name="C06H" xfId="1337" xr:uid="{00000000-0005-0000-0000-000036050000}"/>
    <cellStyle name="C06L" xfId="1338" xr:uid="{00000000-0005-0000-0000-000037050000}"/>
    <cellStyle name="C07A" xfId="1339" xr:uid="{00000000-0005-0000-0000-000038050000}"/>
    <cellStyle name="C07B" xfId="1340" xr:uid="{00000000-0005-0000-0000-000039050000}"/>
    <cellStyle name="C07H" xfId="1341" xr:uid="{00000000-0005-0000-0000-00003A050000}"/>
    <cellStyle name="C07L" xfId="1342" xr:uid="{00000000-0005-0000-0000-00003B050000}"/>
    <cellStyle name="c1" xfId="1343" xr:uid="{00000000-0005-0000-0000-00003C050000}"/>
    <cellStyle name="c1," xfId="1344" xr:uid="{00000000-0005-0000-0000-00003D050000}"/>
    <cellStyle name="c1,." xfId="1345" xr:uid="{00000000-0005-0000-0000-00003E050000}"/>
    <cellStyle name="c1`" xfId="1346" xr:uid="{00000000-0005-0000-0000-00003F050000}"/>
    <cellStyle name="c12" xfId="1347" xr:uid="{00000000-0005-0000-0000-000040050000}"/>
    <cellStyle name="c12," xfId="1348" xr:uid="{00000000-0005-0000-0000-000041050000}"/>
    <cellStyle name="c12_ATD Valuation - 3Q10 v30" xfId="1349" xr:uid="{00000000-0005-0000-0000-000042050000}"/>
    <cellStyle name="c1c1" xfId="1350" xr:uid="{00000000-0005-0000-0000-000043050000}"/>
    <cellStyle name="c1u" xfId="1351" xr:uid="{00000000-0005-0000-0000-000044050000}"/>
    <cellStyle name="c2" xfId="1352" xr:uid="{00000000-0005-0000-0000-000045050000}"/>
    <cellStyle name="c2," xfId="1353" xr:uid="{00000000-0005-0000-0000-000046050000}"/>
    <cellStyle name="c22" xfId="1354" xr:uid="{00000000-0005-0000-0000-000047050000}"/>
    <cellStyle name="c23" xfId="1355" xr:uid="{00000000-0005-0000-0000-000048050000}"/>
    <cellStyle name="c2u" xfId="1356" xr:uid="{00000000-0005-0000-0000-000049050000}"/>
    <cellStyle name="c3" xfId="1357" xr:uid="{00000000-0005-0000-0000-00004A050000}"/>
    <cellStyle name="c3e" xfId="1358" xr:uid="{00000000-0005-0000-0000-00004B050000}"/>
    <cellStyle name="c4" xfId="1359" xr:uid="{00000000-0005-0000-0000-00004C050000}"/>
    <cellStyle name="c5" xfId="1360" xr:uid="{00000000-0005-0000-0000-00004D050000}"/>
    <cellStyle name="ca" xfId="1361" xr:uid="{00000000-0005-0000-0000-00004E050000}"/>
    <cellStyle name="Cabecera 1" xfId="1362" xr:uid="{00000000-0005-0000-0000-00004F050000}"/>
    <cellStyle name="Cabecera 2" xfId="1363" xr:uid="{00000000-0005-0000-0000-000050050000}"/>
    <cellStyle name="Calc Currency (0)" xfId="1364" xr:uid="{00000000-0005-0000-0000-000051050000}"/>
    <cellStyle name="Calculation 10" xfId="1365" xr:uid="{00000000-0005-0000-0000-000052050000}"/>
    <cellStyle name="Calculation 10 2" xfId="1366" xr:uid="{00000000-0005-0000-0000-000053050000}"/>
    <cellStyle name="Calculation 10 3" xfId="1367" xr:uid="{00000000-0005-0000-0000-000054050000}"/>
    <cellStyle name="Calculation 11" xfId="1368" xr:uid="{00000000-0005-0000-0000-000055050000}"/>
    <cellStyle name="Calculation 11 2" xfId="1369" xr:uid="{00000000-0005-0000-0000-000056050000}"/>
    <cellStyle name="Calculation 11 3" xfId="1370" xr:uid="{00000000-0005-0000-0000-000057050000}"/>
    <cellStyle name="Calculation 12" xfId="1371" xr:uid="{00000000-0005-0000-0000-000058050000}"/>
    <cellStyle name="Calculation 12 2" xfId="1372" xr:uid="{00000000-0005-0000-0000-000059050000}"/>
    <cellStyle name="Calculation 12 3" xfId="1373" xr:uid="{00000000-0005-0000-0000-00005A050000}"/>
    <cellStyle name="Calculation 13" xfId="1374" xr:uid="{00000000-0005-0000-0000-00005B050000}"/>
    <cellStyle name="Calculation 13 2" xfId="1375" xr:uid="{00000000-0005-0000-0000-00005C050000}"/>
    <cellStyle name="Calculation 13 3" xfId="1376" xr:uid="{00000000-0005-0000-0000-00005D050000}"/>
    <cellStyle name="Calculation 14" xfId="1377" xr:uid="{00000000-0005-0000-0000-00005E050000}"/>
    <cellStyle name="Calculation 14 2" xfId="1378" xr:uid="{00000000-0005-0000-0000-00005F050000}"/>
    <cellStyle name="Calculation 14 3" xfId="1379" xr:uid="{00000000-0005-0000-0000-000060050000}"/>
    <cellStyle name="Calculation 15" xfId="1380" xr:uid="{00000000-0005-0000-0000-000061050000}"/>
    <cellStyle name="Calculation 15 2" xfId="1381" xr:uid="{00000000-0005-0000-0000-000062050000}"/>
    <cellStyle name="Calculation 15 3" xfId="1382" xr:uid="{00000000-0005-0000-0000-000063050000}"/>
    <cellStyle name="Calculation 16" xfId="1383" xr:uid="{00000000-0005-0000-0000-000064050000}"/>
    <cellStyle name="Calculation 16 2" xfId="1384" xr:uid="{00000000-0005-0000-0000-000065050000}"/>
    <cellStyle name="Calculation 16 3" xfId="1385" xr:uid="{00000000-0005-0000-0000-000066050000}"/>
    <cellStyle name="Calculation 17" xfId="1386" xr:uid="{00000000-0005-0000-0000-000067050000}"/>
    <cellStyle name="Calculation 17 2" xfId="1387" xr:uid="{00000000-0005-0000-0000-000068050000}"/>
    <cellStyle name="Calculation 17 3" xfId="1388" xr:uid="{00000000-0005-0000-0000-000069050000}"/>
    <cellStyle name="Calculation 18" xfId="1389" xr:uid="{00000000-0005-0000-0000-00006A050000}"/>
    <cellStyle name="Calculation 18 2" xfId="1390" xr:uid="{00000000-0005-0000-0000-00006B050000}"/>
    <cellStyle name="Calculation 18 3" xfId="1391" xr:uid="{00000000-0005-0000-0000-00006C050000}"/>
    <cellStyle name="Calculation 19" xfId="1392" xr:uid="{00000000-0005-0000-0000-00006D050000}"/>
    <cellStyle name="Calculation 19 2" xfId="1393" xr:uid="{00000000-0005-0000-0000-00006E050000}"/>
    <cellStyle name="Calculation 19 3" xfId="1394" xr:uid="{00000000-0005-0000-0000-00006F050000}"/>
    <cellStyle name="Calculation 2" xfId="1395" xr:uid="{00000000-0005-0000-0000-000070050000}"/>
    <cellStyle name="Calculation 2 2" xfId="1396" xr:uid="{00000000-0005-0000-0000-000071050000}"/>
    <cellStyle name="Calculation 2 3" xfId="1397" xr:uid="{00000000-0005-0000-0000-000072050000}"/>
    <cellStyle name="Calculation 20" xfId="1398" xr:uid="{00000000-0005-0000-0000-000073050000}"/>
    <cellStyle name="Calculation 20 2" xfId="1399" xr:uid="{00000000-0005-0000-0000-000074050000}"/>
    <cellStyle name="Calculation 20 3" xfId="1400" xr:uid="{00000000-0005-0000-0000-000075050000}"/>
    <cellStyle name="Calculation 21" xfId="1401" xr:uid="{00000000-0005-0000-0000-000076050000}"/>
    <cellStyle name="Calculation 21 2" xfId="1402" xr:uid="{00000000-0005-0000-0000-000077050000}"/>
    <cellStyle name="Calculation 21 3" xfId="1403" xr:uid="{00000000-0005-0000-0000-000078050000}"/>
    <cellStyle name="Calculation 22" xfId="1404" xr:uid="{00000000-0005-0000-0000-000079050000}"/>
    <cellStyle name="Calculation 22 2" xfId="1405" xr:uid="{00000000-0005-0000-0000-00007A050000}"/>
    <cellStyle name="Calculation 22 3" xfId="1406" xr:uid="{00000000-0005-0000-0000-00007B050000}"/>
    <cellStyle name="Calculation 23" xfId="1407" xr:uid="{00000000-0005-0000-0000-00007C050000}"/>
    <cellStyle name="Calculation 23 2" xfId="1408" xr:uid="{00000000-0005-0000-0000-00007D050000}"/>
    <cellStyle name="Calculation 23 3" xfId="1409" xr:uid="{00000000-0005-0000-0000-00007E050000}"/>
    <cellStyle name="Calculation 24" xfId="1410" xr:uid="{00000000-0005-0000-0000-00007F050000}"/>
    <cellStyle name="Calculation 24 2" xfId="1411" xr:uid="{00000000-0005-0000-0000-000080050000}"/>
    <cellStyle name="Calculation 24 3" xfId="1412" xr:uid="{00000000-0005-0000-0000-000081050000}"/>
    <cellStyle name="Calculation 25" xfId="1413" xr:uid="{00000000-0005-0000-0000-000082050000}"/>
    <cellStyle name="Calculation 25 2" xfId="1414" xr:uid="{00000000-0005-0000-0000-000083050000}"/>
    <cellStyle name="Calculation 25 3" xfId="1415" xr:uid="{00000000-0005-0000-0000-000084050000}"/>
    <cellStyle name="Calculation 26" xfId="1416" xr:uid="{00000000-0005-0000-0000-000085050000}"/>
    <cellStyle name="Calculation 26 2" xfId="1417" xr:uid="{00000000-0005-0000-0000-000086050000}"/>
    <cellStyle name="Calculation 26 3" xfId="1418" xr:uid="{00000000-0005-0000-0000-000087050000}"/>
    <cellStyle name="Calculation 27" xfId="1419" xr:uid="{00000000-0005-0000-0000-000088050000}"/>
    <cellStyle name="Calculation 27 2" xfId="1420" xr:uid="{00000000-0005-0000-0000-000089050000}"/>
    <cellStyle name="Calculation 27 3" xfId="1421" xr:uid="{00000000-0005-0000-0000-00008A050000}"/>
    <cellStyle name="Calculation 28" xfId="1422" xr:uid="{00000000-0005-0000-0000-00008B050000}"/>
    <cellStyle name="Calculation 28 2" xfId="1423" xr:uid="{00000000-0005-0000-0000-00008C050000}"/>
    <cellStyle name="Calculation 28 3" xfId="1424" xr:uid="{00000000-0005-0000-0000-00008D050000}"/>
    <cellStyle name="Calculation 29" xfId="1425" xr:uid="{00000000-0005-0000-0000-00008E050000}"/>
    <cellStyle name="Calculation 29 2" xfId="1426" xr:uid="{00000000-0005-0000-0000-00008F050000}"/>
    <cellStyle name="Calculation 29 3" xfId="1427" xr:uid="{00000000-0005-0000-0000-000090050000}"/>
    <cellStyle name="Calculation 3" xfId="1428" xr:uid="{00000000-0005-0000-0000-000091050000}"/>
    <cellStyle name="Calculation 3 2" xfId="1429" xr:uid="{00000000-0005-0000-0000-000092050000}"/>
    <cellStyle name="Calculation 3 3" xfId="1430" xr:uid="{00000000-0005-0000-0000-000093050000}"/>
    <cellStyle name="Calculation 30" xfId="1431" xr:uid="{00000000-0005-0000-0000-000094050000}"/>
    <cellStyle name="Calculation 30 2" xfId="1432" xr:uid="{00000000-0005-0000-0000-000095050000}"/>
    <cellStyle name="Calculation 30 3" xfId="1433" xr:uid="{00000000-0005-0000-0000-000096050000}"/>
    <cellStyle name="Calculation 31" xfId="1434" xr:uid="{00000000-0005-0000-0000-000097050000}"/>
    <cellStyle name="Calculation 31 2" xfId="1435" xr:uid="{00000000-0005-0000-0000-000098050000}"/>
    <cellStyle name="Calculation 31 3" xfId="1436" xr:uid="{00000000-0005-0000-0000-000099050000}"/>
    <cellStyle name="Calculation 32" xfId="1437" xr:uid="{00000000-0005-0000-0000-00009A050000}"/>
    <cellStyle name="Calculation 32 2" xfId="1438" xr:uid="{00000000-0005-0000-0000-00009B050000}"/>
    <cellStyle name="Calculation 32 3" xfId="1439" xr:uid="{00000000-0005-0000-0000-00009C050000}"/>
    <cellStyle name="Calculation 33" xfId="1440" xr:uid="{00000000-0005-0000-0000-00009D050000}"/>
    <cellStyle name="Calculation 33 2" xfId="1441" xr:uid="{00000000-0005-0000-0000-00009E050000}"/>
    <cellStyle name="Calculation 33 3" xfId="1442" xr:uid="{00000000-0005-0000-0000-00009F050000}"/>
    <cellStyle name="Calculation 34" xfId="1443" xr:uid="{00000000-0005-0000-0000-0000A0050000}"/>
    <cellStyle name="Calculation 34 2" xfId="1444" xr:uid="{00000000-0005-0000-0000-0000A1050000}"/>
    <cellStyle name="Calculation 34 3" xfId="1445" xr:uid="{00000000-0005-0000-0000-0000A2050000}"/>
    <cellStyle name="Calculation 35" xfId="1446" xr:uid="{00000000-0005-0000-0000-0000A3050000}"/>
    <cellStyle name="Calculation 35 2" xfId="1447" xr:uid="{00000000-0005-0000-0000-0000A4050000}"/>
    <cellStyle name="Calculation 35 3" xfId="1448" xr:uid="{00000000-0005-0000-0000-0000A5050000}"/>
    <cellStyle name="Calculation 36" xfId="1449" xr:uid="{00000000-0005-0000-0000-0000A6050000}"/>
    <cellStyle name="Calculation 36 2" xfId="1450" xr:uid="{00000000-0005-0000-0000-0000A7050000}"/>
    <cellStyle name="Calculation 36 3" xfId="1451" xr:uid="{00000000-0005-0000-0000-0000A8050000}"/>
    <cellStyle name="Calculation 37" xfId="1452" xr:uid="{00000000-0005-0000-0000-0000A9050000}"/>
    <cellStyle name="Calculation 37 2" xfId="1453" xr:uid="{00000000-0005-0000-0000-0000AA050000}"/>
    <cellStyle name="Calculation 37 3" xfId="1454" xr:uid="{00000000-0005-0000-0000-0000AB050000}"/>
    <cellStyle name="Calculation 38" xfId="1455" xr:uid="{00000000-0005-0000-0000-0000AC050000}"/>
    <cellStyle name="Calculation 38 2" xfId="1456" xr:uid="{00000000-0005-0000-0000-0000AD050000}"/>
    <cellStyle name="Calculation 38 3" xfId="1457" xr:uid="{00000000-0005-0000-0000-0000AE050000}"/>
    <cellStyle name="Calculation 39" xfId="1458" xr:uid="{00000000-0005-0000-0000-0000AF050000}"/>
    <cellStyle name="Calculation 39 2" xfId="1459" xr:uid="{00000000-0005-0000-0000-0000B0050000}"/>
    <cellStyle name="Calculation 39 3" xfId="1460" xr:uid="{00000000-0005-0000-0000-0000B1050000}"/>
    <cellStyle name="Calculation 4" xfId="1461" xr:uid="{00000000-0005-0000-0000-0000B2050000}"/>
    <cellStyle name="Calculation 4 2" xfId="1462" xr:uid="{00000000-0005-0000-0000-0000B3050000}"/>
    <cellStyle name="Calculation 4 3" xfId="1463" xr:uid="{00000000-0005-0000-0000-0000B4050000}"/>
    <cellStyle name="Calculation 40" xfId="1464" xr:uid="{00000000-0005-0000-0000-0000B5050000}"/>
    <cellStyle name="Calculation 40 2" xfId="1465" xr:uid="{00000000-0005-0000-0000-0000B6050000}"/>
    <cellStyle name="Calculation 40 3" xfId="1466" xr:uid="{00000000-0005-0000-0000-0000B7050000}"/>
    <cellStyle name="Calculation 41" xfId="1467" xr:uid="{00000000-0005-0000-0000-0000B8050000}"/>
    <cellStyle name="Calculation 41 2" xfId="1468" xr:uid="{00000000-0005-0000-0000-0000B9050000}"/>
    <cellStyle name="Calculation 41 3" xfId="1469" xr:uid="{00000000-0005-0000-0000-0000BA050000}"/>
    <cellStyle name="Calculation 42" xfId="1470" xr:uid="{00000000-0005-0000-0000-0000BB050000}"/>
    <cellStyle name="Calculation 42 2" xfId="1471" xr:uid="{00000000-0005-0000-0000-0000BC050000}"/>
    <cellStyle name="Calculation 42 3" xfId="1472" xr:uid="{00000000-0005-0000-0000-0000BD050000}"/>
    <cellStyle name="Calculation 43" xfId="1473" xr:uid="{00000000-0005-0000-0000-0000BE050000}"/>
    <cellStyle name="Calculation 43 2" xfId="1474" xr:uid="{00000000-0005-0000-0000-0000BF050000}"/>
    <cellStyle name="Calculation 43 3" xfId="1475" xr:uid="{00000000-0005-0000-0000-0000C0050000}"/>
    <cellStyle name="Calculation 44" xfId="1476" xr:uid="{00000000-0005-0000-0000-0000C1050000}"/>
    <cellStyle name="Calculation 44 2" xfId="1477" xr:uid="{00000000-0005-0000-0000-0000C2050000}"/>
    <cellStyle name="Calculation 44 3" xfId="1478" xr:uid="{00000000-0005-0000-0000-0000C3050000}"/>
    <cellStyle name="Calculation 45" xfId="1479" xr:uid="{00000000-0005-0000-0000-0000C4050000}"/>
    <cellStyle name="Calculation 45 2" xfId="1480" xr:uid="{00000000-0005-0000-0000-0000C5050000}"/>
    <cellStyle name="Calculation 45 3" xfId="1481" xr:uid="{00000000-0005-0000-0000-0000C6050000}"/>
    <cellStyle name="Calculation 46" xfId="1482" xr:uid="{00000000-0005-0000-0000-0000C7050000}"/>
    <cellStyle name="Calculation 46 2" xfId="1483" xr:uid="{00000000-0005-0000-0000-0000C8050000}"/>
    <cellStyle name="Calculation 46 3" xfId="1484" xr:uid="{00000000-0005-0000-0000-0000C9050000}"/>
    <cellStyle name="Calculation 47" xfId="1485" xr:uid="{00000000-0005-0000-0000-0000CA050000}"/>
    <cellStyle name="Calculation 47 2" xfId="1486" xr:uid="{00000000-0005-0000-0000-0000CB050000}"/>
    <cellStyle name="Calculation 47 3" xfId="1487" xr:uid="{00000000-0005-0000-0000-0000CC050000}"/>
    <cellStyle name="Calculation 48" xfId="1488" xr:uid="{00000000-0005-0000-0000-0000CD050000}"/>
    <cellStyle name="Calculation 48 2" xfId="1489" xr:uid="{00000000-0005-0000-0000-0000CE050000}"/>
    <cellStyle name="Calculation 48 3" xfId="1490" xr:uid="{00000000-0005-0000-0000-0000CF050000}"/>
    <cellStyle name="Calculation 49" xfId="1491" xr:uid="{00000000-0005-0000-0000-0000D0050000}"/>
    <cellStyle name="Calculation 49 2" xfId="1492" xr:uid="{00000000-0005-0000-0000-0000D1050000}"/>
    <cellStyle name="Calculation 49 3" xfId="1493" xr:uid="{00000000-0005-0000-0000-0000D2050000}"/>
    <cellStyle name="Calculation 5" xfId="1494" xr:uid="{00000000-0005-0000-0000-0000D3050000}"/>
    <cellStyle name="Calculation 5 2" xfId="1495" xr:uid="{00000000-0005-0000-0000-0000D4050000}"/>
    <cellStyle name="Calculation 5 3" xfId="1496" xr:uid="{00000000-0005-0000-0000-0000D5050000}"/>
    <cellStyle name="Calculation 50" xfId="1497" xr:uid="{00000000-0005-0000-0000-0000D6050000}"/>
    <cellStyle name="Calculation 50 2" xfId="1498" xr:uid="{00000000-0005-0000-0000-0000D7050000}"/>
    <cellStyle name="Calculation 50 3" xfId="1499" xr:uid="{00000000-0005-0000-0000-0000D8050000}"/>
    <cellStyle name="Calculation 51" xfId="1500" xr:uid="{00000000-0005-0000-0000-0000D9050000}"/>
    <cellStyle name="Calculation 51 2" xfId="1501" xr:uid="{00000000-0005-0000-0000-0000DA050000}"/>
    <cellStyle name="Calculation 51 3" xfId="1502" xr:uid="{00000000-0005-0000-0000-0000DB050000}"/>
    <cellStyle name="Calculation 52" xfId="1503" xr:uid="{00000000-0005-0000-0000-0000DC050000}"/>
    <cellStyle name="Calculation 52 2" xfId="1504" xr:uid="{00000000-0005-0000-0000-0000DD050000}"/>
    <cellStyle name="Calculation 52 3" xfId="1505" xr:uid="{00000000-0005-0000-0000-0000DE050000}"/>
    <cellStyle name="Calculation 53" xfId="1506" xr:uid="{00000000-0005-0000-0000-0000DF050000}"/>
    <cellStyle name="Calculation 53 2" xfId="1507" xr:uid="{00000000-0005-0000-0000-0000E0050000}"/>
    <cellStyle name="Calculation 53 3" xfId="1508" xr:uid="{00000000-0005-0000-0000-0000E1050000}"/>
    <cellStyle name="Calculation 54" xfId="1509" xr:uid="{00000000-0005-0000-0000-0000E2050000}"/>
    <cellStyle name="Calculation 54 2" xfId="1510" xr:uid="{00000000-0005-0000-0000-0000E3050000}"/>
    <cellStyle name="Calculation 54 3" xfId="1511" xr:uid="{00000000-0005-0000-0000-0000E4050000}"/>
    <cellStyle name="Calculation 55" xfId="1512" xr:uid="{00000000-0005-0000-0000-0000E5050000}"/>
    <cellStyle name="Calculation 55 2" xfId="1513" xr:uid="{00000000-0005-0000-0000-0000E6050000}"/>
    <cellStyle name="Calculation 55 3" xfId="1514" xr:uid="{00000000-0005-0000-0000-0000E7050000}"/>
    <cellStyle name="Calculation 56" xfId="1515" xr:uid="{00000000-0005-0000-0000-0000E8050000}"/>
    <cellStyle name="Calculation 56 2" xfId="1516" xr:uid="{00000000-0005-0000-0000-0000E9050000}"/>
    <cellStyle name="Calculation 56 3" xfId="1517" xr:uid="{00000000-0005-0000-0000-0000EA050000}"/>
    <cellStyle name="Calculation 57" xfId="1518" xr:uid="{00000000-0005-0000-0000-0000EB050000}"/>
    <cellStyle name="Calculation 57 2" xfId="1519" xr:uid="{00000000-0005-0000-0000-0000EC050000}"/>
    <cellStyle name="Calculation 57 3" xfId="1520" xr:uid="{00000000-0005-0000-0000-0000ED050000}"/>
    <cellStyle name="Calculation 58" xfId="1521" xr:uid="{00000000-0005-0000-0000-0000EE050000}"/>
    <cellStyle name="Calculation 58 2" xfId="1522" xr:uid="{00000000-0005-0000-0000-0000EF050000}"/>
    <cellStyle name="Calculation 58 3" xfId="1523" xr:uid="{00000000-0005-0000-0000-0000F0050000}"/>
    <cellStyle name="Calculation 59" xfId="1524" xr:uid="{00000000-0005-0000-0000-0000F1050000}"/>
    <cellStyle name="Calculation 59 2" xfId="1525" xr:uid="{00000000-0005-0000-0000-0000F2050000}"/>
    <cellStyle name="Calculation 59 3" xfId="1526" xr:uid="{00000000-0005-0000-0000-0000F3050000}"/>
    <cellStyle name="Calculation 6" xfId="1527" xr:uid="{00000000-0005-0000-0000-0000F4050000}"/>
    <cellStyle name="Calculation 6 2" xfId="1528" xr:uid="{00000000-0005-0000-0000-0000F5050000}"/>
    <cellStyle name="Calculation 6 3" xfId="1529" xr:uid="{00000000-0005-0000-0000-0000F6050000}"/>
    <cellStyle name="Calculation 60" xfId="1530" xr:uid="{00000000-0005-0000-0000-0000F7050000}"/>
    <cellStyle name="Calculation 60 2" xfId="1531" xr:uid="{00000000-0005-0000-0000-0000F8050000}"/>
    <cellStyle name="Calculation 60 3" xfId="1532" xr:uid="{00000000-0005-0000-0000-0000F9050000}"/>
    <cellStyle name="Calculation 61" xfId="1533" xr:uid="{00000000-0005-0000-0000-0000FA050000}"/>
    <cellStyle name="Calculation 61 2" xfId="1534" xr:uid="{00000000-0005-0000-0000-0000FB050000}"/>
    <cellStyle name="Calculation 61 3" xfId="1535" xr:uid="{00000000-0005-0000-0000-0000FC050000}"/>
    <cellStyle name="Calculation 62" xfId="1536" xr:uid="{00000000-0005-0000-0000-0000FD050000}"/>
    <cellStyle name="Calculation 62 2" xfId="1537" xr:uid="{00000000-0005-0000-0000-0000FE050000}"/>
    <cellStyle name="Calculation 62 3" xfId="1538" xr:uid="{00000000-0005-0000-0000-0000FF050000}"/>
    <cellStyle name="Calculation 63" xfId="1539" xr:uid="{00000000-0005-0000-0000-000000060000}"/>
    <cellStyle name="Calculation 63 2" xfId="1540" xr:uid="{00000000-0005-0000-0000-000001060000}"/>
    <cellStyle name="Calculation 63 3" xfId="1541" xr:uid="{00000000-0005-0000-0000-000002060000}"/>
    <cellStyle name="Calculation 64" xfId="1542" xr:uid="{00000000-0005-0000-0000-000003060000}"/>
    <cellStyle name="Calculation 64 2" xfId="1543" xr:uid="{00000000-0005-0000-0000-000004060000}"/>
    <cellStyle name="Calculation 64 3" xfId="1544" xr:uid="{00000000-0005-0000-0000-000005060000}"/>
    <cellStyle name="Calculation 65" xfId="1545" xr:uid="{00000000-0005-0000-0000-000006060000}"/>
    <cellStyle name="Calculation 65 2" xfId="1546" xr:uid="{00000000-0005-0000-0000-000007060000}"/>
    <cellStyle name="Calculation 65 3" xfId="1547" xr:uid="{00000000-0005-0000-0000-000008060000}"/>
    <cellStyle name="Calculation 66" xfId="1548" xr:uid="{00000000-0005-0000-0000-000009060000}"/>
    <cellStyle name="Calculation 66 2" xfId="1549" xr:uid="{00000000-0005-0000-0000-00000A060000}"/>
    <cellStyle name="Calculation 66 3" xfId="1550" xr:uid="{00000000-0005-0000-0000-00000B060000}"/>
    <cellStyle name="Calculation 67" xfId="1551" xr:uid="{00000000-0005-0000-0000-00000C060000}"/>
    <cellStyle name="Calculation 67 2" xfId="1552" xr:uid="{00000000-0005-0000-0000-00000D060000}"/>
    <cellStyle name="Calculation 67 3" xfId="1553" xr:uid="{00000000-0005-0000-0000-00000E060000}"/>
    <cellStyle name="Calculation 68" xfId="1554" xr:uid="{00000000-0005-0000-0000-00000F060000}"/>
    <cellStyle name="Calculation 68 2" xfId="1555" xr:uid="{00000000-0005-0000-0000-000010060000}"/>
    <cellStyle name="Calculation 68 3" xfId="1556" xr:uid="{00000000-0005-0000-0000-000011060000}"/>
    <cellStyle name="Calculation 69" xfId="1557" xr:uid="{00000000-0005-0000-0000-000012060000}"/>
    <cellStyle name="Calculation 69 2" xfId="1558" xr:uid="{00000000-0005-0000-0000-000013060000}"/>
    <cellStyle name="Calculation 69 3" xfId="1559" xr:uid="{00000000-0005-0000-0000-000014060000}"/>
    <cellStyle name="Calculation 7" xfId="1560" xr:uid="{00000000-0005-0000-0000-000015060000}"/>
    <cellStyle name="Calculation 7 2" xfId="1561" xr:uid="{00000000-0005-0000-0000-000016060000}"/>
    <cellStyle name="Calculation 7 3" xfId="1562" xr:uid="{00000000-0005-0000-0000-000017060000}"/>
    <cellStyle name="Calculation 70" xfId="1563" xr:uid="{00000000-0005-0000-0000-000018060000}"/>
    <cellStyle name="Calculation 70 2" xfId="1564" xr:uid="{00000000-0005-0000-0000-000019060000}"/>
    <cellStyle name="Calculation 70 3" xfId="1565" xr:uid="{00000000-0005-0000-0000-00001A060000}"/>
    <cellStyle name="Calculation 71" xfId="1566" xr:uid="{00000000-0005-0000-0000-00001B060000}"/>
    <cellStyle name="Calculation 71 2" xfId="1567" xr:uid="{00000000-0005-0000-0000-00001C060000}"/>
    <cellStyle name="Calculation 71 3" xfId="1568" xr:uid="{00000000-0005-0000-0000-00001D060000}"/>
    <cellStyle name="Calculation 72" xfId="1569" xr:uid="{00000000-0005-0000-0000-00001E060000}"/>
    <cellStyle name="Calculation 72 2" xfId="1570" xr:uid="{00000000-0005-0000-0000-00001F060000}"/>
    <cellStyle name="Calculation 72 3" xfId="1571" xr:uid="{00000000-0005-0000-0000-000020060000}"/>
    <cellStyle name="Calculation 73" xfId="1572" xr:uid="{00000000-0005-0000-0000-000021060000}"/>
    <cellStyle name="Calculation 73 2" xfId="1573" xr:uid="{00000000-0005-0000-0000-000022060000}"/>
    <cellStyle name="Calculation 73 3" xfId="1574" xr:uid="{00000000-0005-0000-0000-000023060000}"/>
    <cellStyle name="Calculation 74" xfId="1575" xr:uid="{00000000-0005-0000-0000-000024060000}"/>
    <cellStyle name="Calculation 74 2" xfId="1576" xr:uid="{00000000-0005-0000-0000-000025060000}"/>
    <cellStyle name="Calculation 74 3" xfId="1577" xr:uid="{00000000-0005-0000-0000-000026060000}"/>
    <cellStyle name="Calculation 75" xfId="1578" xr:uid="{00000000-0005-0000-0000-000027060000}"/>
    <cellStyle name="Calculation 75 2" xfId="1579" xr:uid="{00000000-0005-0000-0000-000028060000}"/>
    <cellStyle name="Calculation 75 3" xfId="1580" xr:uid="{00000000-0005-0000-0000-000029060000}"/>
    <cellStyle name="Calculation 76" xfId="1581" xr:uid="{00000000-0005-0000-0000-00002A060000}"/>
    <cellStyle name="Calculation 76 2" xfId="1582" xr:uid="{00000000-0005-0000-0000-00002B060000}"/>
    <cellStyle name="Calculation 76 3" xfId="1583" xr:uid="{00000000-0005-0000-0000-00002C060000}"/>
    <cellStyle name="Calculation 77" xfId="1584" xr:uid="{00000000-0005-0000-0000-00002D060000}"/>
    <cellStyle name="Calculation 77 2" xfId="1585" xr:uid="{00000000-0005-0000-0000-00002E060000}"/>
    <cellStyle name="Calculation 77 3" xfId="1586" xr:uid="{00000000-0005-0000-0000-00002F060000}"/>
    <cellStyle name="Calculation 78" xfId="1587" xr:uid="{00000000-0005-0000-0000-000030060000}"/>
    <cellStyle name="Calculation 78 2" xfId="1588" xr:uid="{00000000-0005-0000-0000-000031060000}"/>
    <cellStyle name="Calculation 78 3" xfId="1589" xr:uid="{00000000-0005-0000-0000-000032060000}"/>
    <cellStyle name="Calculation 79" xfId="1590" xr:uid="{00000000-0005-0000-0000-000033060000}"/>
    <cellStyle name="Calculation 79 2" xfId="1591" xr:uid="{00000000-0005-0000-0000-000034060000}"/>
    <cellStyle name="Calculation 79 3" xfId="1592" xr:uid="{00000000-0005-0000-0000-000035060000}"/>
    <cellStyle name="Calculation 8" xfId="1593" xr:uid="{00000000-0005-0000-0000-000036060000}"/>
    <cellStyle name="Calculation 8 2" xfId="1594" xr:uid="{00000000-0005-0000-0000-000037060000}"/>
    <cellStyle name="Calculation 8 3" xfId="1595" xr:uid="{00000000-0005-0000-0000-000038060000}"/>
    <cellStyle name="Calculation 9" xfId="1596" xr:uid="{00000000-0005-0000-0000-000039060000}"/>
    <cellStyle name="Calculation 9 2" xfId="1597" xr:uid="{00000000-0005-0000-0000-00003A060000}"/>
    <cellStyle name="Calculation 9 3" xfId="1598" xr:uid="{00000000-0005-0000-0000-00003B060000}"/>
    <cellStyle name="Cambiar to&amp;do" xfId="1599" xr:uid="{00000000-0005-0000-0000-00003C060000}"/>
    <cellStyle name="carp" xfId="1600" xr:uid="{00000000-0005-0000-0000-00003D060000}"/>
    <cellStyle name="cas" xfId="1601" xr:uid="{00000000-0005-0000-0000-00003E060000}"/>
    <cellStyle name="Case" xfId="1602" xr:uid="{00000000-0005-0000-0000-00003F060000}"/>
    <cellStyle name="Cash Flow Statement" xfId="1603" xr:uid="{00000000-0005-0000-0000-000040060000}"/>
    <cellStyle name="CashFlow" xfId="1604" xr:uid="{00000000-0005-0000-0000-000041060000}"/>
    <cellStyle name="category" xfId="1605" xr:uid="{00000000-0005-0000-0000-000042060000}"/>
    <cellStyle name="cc" xfId="1606" xr:uid="{00000000-0005-0000-0000-000043060000}"/>
    <cellStyle name="cc1," xfId="1607" xr:uid="{00000000-0005-0000-0000-000044060000}"/>
    <cellStyle name="cd" xfId="1608" xr:uid="{00000000-0005-0000-0000-000045060000}"/>
    <cellStyle name="cemter" xfId="1609" xr:uid="{00000000-0005-0000-0000-000046060000}"/>
    <cellStyle name="Center" xfId="1610" xr:uid="{00000000-0005-0000-0000-000047060000}"/>
    <cellStyle name="Center/Bold" xfId="1611" xr:uid="{00000000-0005-0000-0000-000048060000}"/>
    <cellStyle name="center_Biomet Valuation - 4Q10" xfId="1612" xr:uid="{00000000-0005-0000-0000-000049060000}"/>
    <cellStyle name="CenterAcross" xfId="1613" xr:uid="{00000000-0005-0000-0000-00004A060000}"/>
    <cellStyle name="Centered Heading" xfId="1614" xr:uid="{00000000-0005-0000-0000-00004B060000}"/>
    <cellStyle name="Centered Heading Notes" xfId="1615" xr:uid="{00000000-0005-0000-0000-00004C060000}"/>
    <cellStyle name="Centered Heading_WFG JULY 2007" xfId="1616" xr:uid="{00000000-0005-0000-0000-00004D060000}"/>
    <cellStyle name="cents" xfId="1617" xr:uid="{00000000-0005-0000-0000-00004E060000}"/>
    <cellStyle name="cetner" xfId="1618" xr:uid="{00000000-0005-0000-0000-00004F060000}"/>
    <cellStyle name="Changeable" xfId="1619" xr:uid="{00000000-0005-0000-0000-000050060000}"/>
    <cellStyle name="Chart Title" xfId="1620" xr:uid="{00000000-0005-0000-0000-000051060000}"/>
    <cellStyle name="ChartingText" xfId="1621" xr:uid="{00000000-0005-0000-0000-000052060000}"/>
    <cellStyle name="Check Cell 10" xfId="1622" xr:uid="{00000000-0005-0000-0000-000053060000}"/>
    <cellStyle name="Check Cell 11" xfId="1623" xr:uid="{00000000-0005-0000-0000-000054060000}"/>
    <cellStyle name="Check Cell 12" xfId="1624" xr:uid="{00000000-0005-0000-0000-000055060000}"/>
    <cellStyle name="Check Cell 13" xfId="1625" xr:uid="{00000000-0005-0000-0000-000056060000}"/>
    <cellStyle name="Check Cell 14" xfId="1626" xr:uid="{00000000-0005-0000-0000-000057060000}"/>
    <cellStyle name="Check Cell 15" xfId="1627" xr:uid="{00000000-0005-0000-0000-000058060000}"/>
    <cellStyle name="Check Cell 16" xfId="1628" xr:uid="{00000000-0005-0000-0000-000059060000}"/>
    <cellStyle name="Check Cell 17" xfId="1629" xr:uid="{00000000-0005-0000-0000-00005A060000}"/>
    <cellStyle name="Check Cell 18" xfId="1630" xr:uid="{00000000-0005-0000-0000-00005B060000}"/>
    <cellStyle name="Check Cell 19" xfId="1631" xr:uid="{00000000-0005-0000-0000-00005C060000}"/>
    <cellStyle name="Check Cell 2" xfId="1632" xr:uid="{00000000-0005-0000-0000-00005D060000}"/>
    <cellStyle name="Check Cell 20" xfId="1633" xr:uid="{00000000-0005-0000-0000-00005E060000}"/>
    <cellStyle name="Check Cell 21" xfId="1634" xr:uid="{00000000-0005-0000-0000-00005F060000}"/>
    <cellStyle name="Check Cell 22" xfId="1635" xr:uid="{00000000-0005-0000-0000-000060060000}"/>
    <cellStyle name="Check Cell 23" xfId="1636" xr:uid="{00000000-0005-0000-0000-000061060000}"/>
    <cellStyle name="Check Cell 24" xfId="1637" xr:uid="{00000000-0005-0000-0000-000062060000}"/>
    <cellStyle name="Check Cell 25" xfId="1638" xr:uid="{00000000-0005-0000-0000-000063060000}"/>
    <cellStyle name="Check Cell 26" xfId="1639" xr:uid="{00000000-0005-0000-0000-000064060000}"/>
    <cellStyle name="Check Cell 27" xfId="1640" xr:uid="{00000000-0005-0000-0000-000065060000}"/>
    <cellStyle name="Check Cell 28" xfId="1641" xr:uid="{00000000-0005-0000-0000-000066060000}"/>
    <cellStyle name="Check Cell 29" xfId="1642" xr:uid="{00000000-0005-0000-0000-000067060000}"/>
    <cellStyle name="Check Cell 3" xfId="1643" xr:uid="{00000000-0005-0000-0000-000068060000}"/>
    <cellStyle name="Check Cell 30" xfId="1644" xr:uid="{00000000-0005-0000-0000-000069060000}"/>
    <cellStyle name="Check Cell 31" xfId="1645" xr:uid="{00000000-0005-0000-0000-00006A060000}"/>
    <cellStyle name="Check Cell 32" xfId="1646" xr:uid="{00000000-0005-0000-0000-00006B060000}"/>
    <cellStyle name="Check Cell 33" xfId="1647" xr:uid="{00000000-0005-0000-0000-00006C060000}"/>
    <cellStyle name="Check Cell 34" xfId="1648" xr:uid="{00000000-0005-0000-0000-00006D060000}"/>
    <cellStyle name="Check Cell 35" xfId="1649" xr:uid="{00000000-0005-0000-0000-00006E060000}"/>
    <cellStyle name="Check Cell 36" xfId="1650" xr:uid="{00000000-0005-0000-0000-00006F060000}"/>
    <cellStyle name="Check Cell 37" xfId="1651" xr:uid="{00000000-0005-0000-0000-000070060000}"/>
    <cellStyle name="Check Cell 38" xfId="1652" xr:uid="{00000000-0005-0000-0000-000071060000}"/>
    <cellStyle name="Check Cell 39" xfId="1653" xr:uid="{00000000-0005-0000-0000-000072060000}"/>
    <cellStyle name="Check Cell 4" xfId="1654" xr:uid="{00000000-0005-0000-0000-000073060000}"/>
    <cellStyle name="Check Cell 40" xfId="1655" xr:uid="{00000000-0005-0000-0000-000074060000}"/>
    <cellStyle name="Check Cell 41" xfId="1656" xr:uid="{00000000-0005-0000-0000-000075060000}"/>
    <cellStyle name="Check Cell 42" xfId="1657" xr:uid="{00000000-0005-0000-0000-000076060000}"/>
    <cellStyle name="Check Cell 43" xfId="1658" xr:uid="{00000000-0005-0000-0000-000077060000}"/>
    <cellStyle name="Check Cell 44" xfId="1659" xr:uid="{00000000-0005-0000-0000-000078060000}"/>
    <cellStyle name="Check Cell 45" xfId="1660" xr:uid="{00000000-0005-0000-0000-000079060000}"/>
    <cellStyle name="Check Cell 46" xfId="1661" xr:uid="{00000000-0005-0000-0000-00007A060000}"/>
    <cellStyle name="Check Cell 47" xfId="1662" xr:uid="{00000000-0005-0000-0000-00007B060000}"/>
    <cellStyle name="Check Cell 48" xfId="1663" xr:uid="{00000000-0005-0000-0000-00007C060000}"/>
    <cellStyle name="Check Cell 49" xfId="1664" xr:uid="{00000000-0005-0000-0000-00007D060000}"/>
    <cellStyle name="Check Cell 5" xfId="1665" xr:uid="{00000000-0005-0000-0000-00007E060000}"/>
    <cellStyle name="Check Cell 50" xfId="1666" xr:uid="{00000000-0005-0000-0000-00007F060000}"/>
    <cellStyle name="Check Cell 51" xfId="1667" xr:uid="{00000000-0005-0000-0000-000080060000}"/>
    <cellStyle name="Check Cell 52" xfId="1668" xr:uid="{00000000-0005-0000-0000-000081060000}"/>
    <cellStyle name="Check Cell 53" xfId="1669" xr:uid="{00000000-0005-0000-0000-000082060000}"/>
    <cellStyle name="Check Cell 54" xfId="1670" xr:uid="{00000000-0005-0000-0000-000083060000}"/>
    <cellStyle name="Check Cell 55" xfId="1671" xr:uid="{00000000-0005-0000-0000-000084060000}"/>
    <cellStyle name="Check Cell 56" xfId="1672" xr:uid="{00000000-0005-0000-0000-000085060000}"/>
    <cellStyle name="Check Cell 57" xfId="1673" xr:uid="{00000000-0005-0000-0000-000086060000}"/>
    <cellStyle name="Check Cell 58" xfId="1674" xr:uid="{00000000-0005-0000-0000-000087060000}"/>
    <cellStyle name="Check Cell 59" xfId="1675" xr:uid="{00000000-0005-0000-0000-000088060000}"/>
    <cellStyle name="Check Cell 6" xfId="1676" xr:uid="{00000000-0005-0000-0000-000089060000}"/>
    <cellStyle name="Check Cell 60" xfId="1677" xr:uid="{00000000-0005-0000-0000-00008A060000}"/>
    <cellStyle name="Check Cell 61" xfId="1678" xr:uid="{00000000-0005-0000-0000-00008B060000}"/>
    <cellStyle name="Check Cell 62" xfId="1679" xr:uid="{00000000-0005-0000-0000-00008C060000}"/>
    <cellStyle name="Check Cell 63" xfId="1680" xr:uid="{00000000-0005-0000-0000-00008D060000}"/>
    <cellStyle name="Check Cell 64" xfId="1681" xr:uid="{00000000-0005-0000-0000-00008E060000}"/>
    <cellStyle name="Check Cell 65" xfId="1682" xr:uid="{00000000-0005-0000-0000-00008F060000}"/>
    <cellStyle name="Check Cell 66" xfId="1683" xr:uid="{00000000-0005-0000-0000-000090060000}"/>
    <cellStyle name="Check Cell 67" xfId="1684" xr:uid="{00000000-0005-0000-0000-000091060000}"/>
    <cellStyle name="Check Cell 68" xfId="1685" xr:uid="{00000000-0005-0000-0000-000092060000}"/>
    <cellStyle name="Check Cell 69" xfId="1686" xr:uid="{00000000-0005-0000-0000-000093060000}"/>
    <cellStyle name="Check Cell 7" xfId="1687" xr:uid="{00000000-0005-0000-0000-000094060000}"/>
    <cellStyle name="Check Cell 70" xfId="1688" xr:uid="{00000000-0005-0000-0000-000095060000}"/>
    <cellStyle name="Check Cell 71" xfId="1689" xr:uid="{00000000-0005-0000-0000-000096060000}"/>
    <cellStyle name="Check Cell 72" xfId="1690" xr:uid="{00000000-0005-0000-0000-000097060000}"/>
    <cellStyle name="Check Cell 73" xfId="1691" xr:uid="{00000000-0005-0000-0000-000098060000}"/>
    <cellStyle name="Check Cell 74" xfId="1692" xr:uid="{00000000-0005-0000-0000-000099060000}"/>
    <cellStyle name="Check Cell 75" xfId="1693" xr:uid="{00000000-0005-0000-0000-00009A060000}"/>
    <cellStyle name="Check Cell 76" xfId="1694" xr:uid="{00000000-0005-0000-0000-00009B060000}"/>
    <cellStyle name="Check Cell 77" xfId="1695" xr:uid="{00000000-0005-0000-0000-00009C060000}"/>
    <cellStyle name="Check Cell 78" xfId="1696" xr:uid="{00000000-0005-0000-0000-00009D060000}"/>
    <cellStyle name="Check Cell 79" xfId="1697" xr:uid="{00000000-0005-0000-0000-00009E060000}"/>
    <cellStyle name="Check Cell 8" xfId="1698" xr:uid="{00000000-0005-0000-0000-00009F060000}"/>
    <cellStyle name="Check Cell 9" xfId="1699" xr:uid="{00000000-0005-0000-0000-0000A0060000}"/>
    <cellStyle name="CJT" xfId="1700" xr:uid="{00000000-0005-0000-0000-0000A1060000}"/>
    <cellStyle name="Clean" xfId="1701" xr:uid="{00000000-0005-0000-0000-0000A2060000}"/>
    <cellStyle name="clear" xfId="1702" xr:uid="{00000000-0005-0000-0000-0000A3060000}"/>
    <cellStyle name="Client Name" xfId="1703" xr:uid="{00000000-0005-0000-0000-0000A4060000}"/>
    <cellStyle name="cNormal" xfId="1704" xr:uid="{00000000-0005-0000-0000-0000A5060000}"/>
    <cellStyle name="Co. Names" xfId="1705" xr:uid="{00000000-0005-0000-0000-0000A6060000}"/>
    <cellStyle name="Code" xfId="1706" xr:uid="{00000000-0005-0000-0000-0000A7060000}"/>
    <cellStyle name="COL HEADINGS" xfId="1707" xr:uid="{00000000-0005-0000-0000-0000A8060000}"/>
    <cellStyle name="Colhead" xfId="1708" xr:uid="{00000000-0005-0000-0000-0000A9060000}"/>
    <cellStyle name="Columm header straddle" xfId="1709" xr:uid="{00000000-0005-0000-0000-0000AA060000}"/>
    <cellStyle name="Column Headings" xfId="1710" xr:uid="{00000000-0005-0000-0000-0000AB060000}"/>
    <cellStyle name="Column_Title" xfId="1711" xr:uid="{00000000-0005-0000-0000-0000AC060000}"/>
    <cellStyle name="column1" xfId="1712" xr:uid="{00000000-0005-0000-0000-0000AD060000}"/>
    <cellStyle name="column1Big" xfId="1713" xr:uid="{00000000-0005-0000-0000-0000AE060000}"/>
    <cellStyle name="column1BigNoWrap" xfId="1714" xr:uid="{00000000-0005-0000-0000-0000AF060000}"/>
    <cellStyle name="column1Date" xfId="1715" xr:uid="{00000000-0005-0000-0000-0000B0060000}"/>
    <cellStyle name="column2Date" xfId="1716" xr:uid="{00000000-0005-0000-0000-0000B1060000}"/>
    <cellStyle name="column3Date" xfId="1717" xr:uid="{00000000-0005-0000-0000-0000B2060000}"/>
    <cellStyle name="ColumnAttributeAbovePrompt" xfId="1718" xr:uid="{00000000-0005-0000-0000-0000B3060000}"/>
    <cellStyle name="ColumnAttributePrompt" xfId="1719" xr:uid="{00000000-0005-0000-0000-0000B4060000}"/>
    <cellStyle name="ColumnAttributeValue" xfId="1720" xr:uid="{00000000-0005-0000-0000-0000B5060000}"/>
    <cellStyle name="columnheader" xfId="1721" xr:uid="{00000000-0005-0000-0000-0000B6060000}"/>
    <cellStyle name="ColumnHeaderNormal" xfId="1722" xr:uid="{00000000-0005-0000-0000-0000B7060000}"/>
    <cellStyle name="ColumnHeadingPrompt" xfId="1723" xr:uid="{00000000-0005-0000-0000-0000B8060000}"/>
    <cellStyle name="ColumnHeadingValue" xfId="1724" xr:uid="{00000000-0005-0000-0000-0000B9060000}"/>
    <cellStyle name="Com?a" xfId="1725" xr:uid="{00000000-0005-0000-0000-0000BA060000}"/>
    <cellStyle name="Comma  - Style1" xfId="1726" xr:uid="{00000000-0005-0000-0000-0000BB060000}"/>
    <cellStyle name="Comma  - Style2" xfId="1727" xr:uid="{00000000-0005-0000-0000-0000BC060000}"/>
    <cellStyle name="Comma  - Style3" xfId="1728" xr:uid="{00000000-0005-0000-0000-0000BD060000}"/>
    <cellStyle name="Comma  - Style4" xfId="1729" xr:uid="{00000000-0005-0000-0000-0000BE060000}"/>
    <cellStyle name="Comma  - Style5" xfId="1730" xr:uid="{00000000-0005-0000-0000-0000BF060000}"/>
    <cellStyle name="Comma  - Style6" xfId="1731" xr:uid="{00000000-0005-0000-0000-0000C0060000}"/>
    <cellStyle name="Comma  - Style7" xfId="1732" xr:uid="{00000000-0005-0000-0000-0000C1060000}"/>
    <cellStyle name="Comma  - Style8" xfId="1733" xr:uid="{00000000-0005-0000-0000-0000C2060000}"/>
    <cellStyle name="Comma (0)" xfId="1734" xr:uid="{00000000-0005-0000-0000-0000C3060000}"/>
    <cellStyle name="Comma (1)" xfId="1735" xr:uid="{00000000-0005-0000-0000-0000C4060000}"/>
    <cellStyle name="Comma ," xfId="1736" xr:uid="{00000000-0005-0000-0000-0000C5060000}"/>
    <cellStyle name="Comma , 2" xfId="28207" xr:uid="{00000000-0005-0000-0000-0000C6060000}"/>
    <cellStyle name="Comma [0] 2" xfId="1737" xr:uid="{00000000-0005-0000-0000-0000C7060000}"/>
    <cellStyle name="Comma [0] 2 2" xfId="28208" xr:uid="{00000000-0005-0000-0000-0000C8060000}"/>
    <cellStyle name="Comma [02]" xfId="1738" xr:uid="{00000000-0005-0000-0000-0000C9060000}"/>
    <cellStyle name="comma [1]" xfId="1739" xr:uid="{00000000-0005-0000-0000-0000CA060000}"/>
    <cellStyle name="Comma [2]" xfId="1740" xr:uid="{00000000-0005-0000-0000-0000CB060000}"/>
    <cellStyle name="Comma 0" xfId="1741" xr:uid="{00000000-0005-0000-0000-0000CC060000}"/>
    <cellStyle name="Comma 0*" xfId="1742" xr:uid="{00000000-0005-0000-0000-0000CD060000}"/>
    <cellStyle name="Comma 0.0" xfId="1743" xr:uid="{00000000-0005-0000-0000-0000CE060000}"/>
    <cellStyle name="Comma 0.00" xfId="1744" xr:uid="{00000000-0005-0000-0000-0000CF060000}"/>
    <cellStyle name="Comma 0.000" xfId="1745" xr:uid="{00000000-0005-0000-0000-0000D0060000}"/>
    <cellStyle name="Comma 0_Alamosa (Delaware), Inc. Model - Consolidated - quarterized SWPCS - Due Dil" xfId="1746" xr:uid="{00000000-0005-0000-0000-0000D1060000}"/>
    <cellStyle name="Comma 10" xfId="1747" xr:uid="{00000000-0005-0000-0000-0000D2060000}"/>
    <cellStyle name="Comma 10 2" xfId="28209" xr:uid="{00000000-0005-0000-0000-0000D3060000}"/>
    <cellStyle name="Comma 100" xfId="27991" xr:uid="{00000000-0005-0000-0000-0000D4060000}"/>
    <cellStyle name="Comma 100 2" xfId="28291" xr:uid="{00000000-0005-0000-0000-0000D5060000}"/>
    <cellStyle name="Comma 11" xfId="1748" xr:uid="{00000000-0005-0000-0000-0000D6060000}"/>
    <cellStyle name="Comma 11 2" xfId="28210" xr:uid="{00000000-0005-0000-0000-0000D7060000}"/>
    <cellStyle name="Comma 12" xfId="1749" xr:uid="{00000000-0005-0000-0000-0000D8060000}"/>
    <cellStyle name="Comma 12 2" xfId="28211" xr:uid="{00000000-0005-0000-0000-0000D9060000}"/>
    <cellStyle name="Comma 13" xfId="5" xr:uid="{00000000-0005-0000-0000-0000DA060000}"/>
    <cellStyle name="Comma 13 2" xfId="1750" xr:uid="{00000000-0005-0000-0000-0000DB060000}"/>
    <cellStyle name="Comma 13 3" xfId="28212" xr:uid="{00000000-0005-0000-0000-0000DC060000}"/>
    <cellStyle name="Comma 14" xfId="1751" xr:uid="{00000000-0005-0000-0000-0000DD060000}"/>
    <cellStyle name="Comma 14 2" xfId="28213" xr:uid="{00000000-0005-0000-0000-0000DE060000}"/>
    <cellStyle name="Comma 15" xfId="1752" xr:uid="{00000000-0005-0000-0000-0000DF060000}"/>
    <cellStyle name="Comma 15 2" xfId="28214" xr:uid="{00000000-0005-0000-0000-0000E0060000}"/>
    <cellStyle name="Comma 16" xfId="1753" xr:uid="{00000000-0005-0000-0000-0000E1060000}"/>
    <cellStyle name="Comma 16 2" xfId="28215" xr:uid="{00000000-0005-0000-0000-0000E2060000}"/>
    <cellStyle name="Comma 17" xfId="1754" xr:uid="{00000000-0005-0000-0000-0000E3060000}"/>
    <cellStyle name="Comma 17 2" xfId="28216" xr:uid="{00000000-0005-0000-0000-0000E4060000}"/>
    <cellStyle name="Comma 18" xfId="1755" xr:uid="{00000000-0005-0000-0000-0000E5060000}"/>
    <cellStyle name="Comma 18 2" xfId="28217" xr:uid="{00000000-0005-0000-0000-0000E6060000}"/>
    <cellStyle name="Comma 19" xfId="1756" xr:uid="{00000000-0005-0000-0000-0000E7060000}"/>
    <cellStyle name="Comma 19 2" xfId="28218" xr:uid="{00000000-0005-0000-0000-0000E8060000}"/>
    <cellStyle name="Comma 2" xfId="1757" xr:uid="{00000000-0005-0000-0000-0000E9060000}"/>
    <cellStyle name="Comma 2 2" xfId="1758" xr:uid="{00000000-0005-0000-0000-0000EA060000}"/>
    <cellStyle name="Comma 2 2 2" xfId="1759" xr:uid="{00000000-0005-0000-0000-0000EB060000}"/>
    <cellStyle name="Comma 2 2 2 2" xfId="28221" xr:uid="{00000000-0005-0000-0000-0000EC060000}"/>
    <cellStyle name="Comma 2 2 3" xfId="28220" xr:uid="{00000000-0005-0000-0000-0000ED060000}"/>
    <cellStyle name="Comma 2 3" xfId="1760" xr:uid="{00000000-0005-0000-0000-0000EE060000}"/>
    <cellStyle name="Comma 2 3 2" xfId="28222" xr:uid="{00000000-0005-0000-0000-0000EF060000}"/>
    <cellStyle name="Comma 2 4" xfId="28219" xr:uid="{00000000-0005-0000-0000-0000F0060000}"/>
    <cellStyle name="Comma 2 7" xfId="7" xr:uid="{00000000-0005-0000-0000-0000F1060000}"/>
    <cellStyle name="Comma 2_Luna - Debt paydown" xfId="1761" xr:uid="{00000000-0005-0000-0000-0000F2060000}"/>
    <cellStyle name="Comma 20" xfId="1762" xr:uid="{00000000-0005-0000-0000-0000F3060000}"/>
    <cellStyle name="Comma 20 2" xfId="28223" xr:uid="{00000000-0005-0000-0000-0000F4060000}"/>
    <cellStyle name="Comma 21" xfId="1763" xr:uid="{00000000-0005-0000-0000-0000F5060000}"/>
    <cellStyle name="Comma 21 2" xfId="28224" xr:uid="{00000000-0005-0000-0000-0000F6060000}"/>
    <cellStyle name="Comma 22" xfId="1764" xr:uid="{00000000-0005-0000-0000-0000F7060000}"/>
    <cellStyle name="Comma 22 2" xfId="28225" xr:uid="{00000000-0005-0000-0000-0000F8060000}"/>
    <cellStyle name="Comma 23" xfId="1765" xr:uid="{00000000-0005-0000-0000-0000F9060000}"/>
    <cellStyle name="Comma 23 2" xfId="28226" xr:uid="{00000000-0005-0000-0000-0000FA060000}"/>
    <cellStyle name="Comma 24" xfId="1766" xr:uid="{00000000-0005-0000-0000-0000FB060000}"/>
    <cellStyle name="Comma 24 2" xfId="28227" xr:uid="{00000000-0005-0000-0000-0000FC060000}"/>
    <cellStyle name="Comma 25" xfId="1767" xr:uid="{00000000-0005-0000-0000-0000FD060000}"/>
    <cellStyle name="Comma 25 2" xfId="28228" xr:uid="{00000000-0005-0000-0000-0000FE060000}"/>
    <cellStyle name="Comma 26" xfId="1768" xr:uid="{00000000-0005-0000-0000-0000FF060000}"/>
    <cellStyle name="Comma 26 2" xfId="28229" xr:uid="{00000000-0005-0000-0000-000000070000}"/>
    <cellStyle name="Comma 27" xfId="1769" xr:uid="{00000000-0005-0000-0000-000001070000}"/>
    <cellStyle name="Comma 27 2" xfId="1770" xr:uid="{00000000-0005-0000-0000-000002070000}"/>
    <cellStyle name="Comma 27 2 2" xfId="28231" xr:uid="{00000000-0005-0000-0000-000003070000}"/>
    <cellStyle name="Comma 27 3" xfId="28230" xr:uid="{00000000-0005-0000-0000-000004070000}"/>
    <cellStyle name="Comma 28" xfId="1771" xr:uid="{00000000-0005-0000-0000-000005070000}"/>
    <cellStyle name="Comma 28 2" xfId="1772" xr:uid="{00000000-0005-0000-0000-000006070000}"/>
    <cellStyle name="Comma 28 2 2" xfId="28233" xr:uid="{00000000-0005-0000-0000-000007070000}"/>
    <cellStyle name="Comma 28 3" xfId="28232" xr:uid="{00000000-0005-0000-0000-000008070000}"/>
    <cellStyle name="Comma 29" xfId="1773" xr:uid="{00000000-0005-0000-0000-000009070000}"/>
    <cellStyle name="Comma 3" xfId="1774" xr:uid="{00000000-0005-0000-0000-00000A070000}"/>
    <cellStyle name="Comma 3 2" xfId="1775" xr:uid="{00000000-0005-0000-0000-00000B070000}"/>
    <cellStyle name="Comma 3 3" xfId="1776" xr:uid="{00000000-0005-0000-0000-00000C070000}"/>
    <cellStyle name="Comma 3 4" xfId="28234" xr:uid="{00000000-0005-0000-0000-00000D070000}"/>
    <cellStyle name="Comma 3_Biomet Valuation - 4Q10" xfId="1777" xr:uid="{00000000-0005-0000-0000-00000E070000}"/>
    <cellStyle name="Comma 30" xfId="1778" xr:uid="{00000000-0005-0000-0000-00000F070000}"/>
    <cellStyle name="Comma 31" xfId="1779" xr:uid="{00000000-0005-0000-0000-000010070000}"/>
    <cellStyle name="Comma 31 2" xfId="28235" xr:uid="{00000000-0005-0000-0000-000011070000}"/>
    <cellStyle name="Comma 32" xfId="1780" xr:uid="{00000000-0005-0000-0000-000012070000}"/>
    <cellStyle name="Comma 32 2" xfId="28236" xr:uid="{00000000-0005-0000-0000-000013070000}"/>
    <cellStyle name="Comma 33" xfId="27965" xr:uid="{00000000-0005-0000-0000-000014070000}"/>
    <cellStyle name="Comma 34" xfId="28198" xr:uid="{00000000-0005-0000-0000-000015070000}"/>
    <cellStyle name="Comma 35" xfId="28173" xr:uid="{00000000-0005-0000-0000-000016070000}"/>
    <cellStyle name="Comma 36" xfId="28187" xr:uid="{00000000-0005-0000-0000-000017070000}"/>
    <cellStyle name="Comma 37" xfId="28289" xr:uid="{00000000-0005-0000-0000-000018070000}"/>
    <cellStyle name="Comma 38" xfId="28202" xr:uid="{00000000-0005-0000-0000-000019070000}"/>
    <cellStyle name="Comma 4" xfId="1781" xr:uid="{00000000-0005-0000-0000-00001A070000}"/>
    <cellStyle name="Comma 4 2" xfId="28237" xr:uid="{00000000-0005-0000-0000-00001B070000}"/>
    <cellStyle name="Comma 5" xfId="1782" xr:uid="{00000000-0005-0000-0000-00001C070000}"/>
    <cellStyle name="Comma 6" xfId="1783" xr:uid="{00000000-0005-0000-0000-00001D070000}"/>
    <cellStyle name="Comma 7" xfId="1784" xr:uid="{00000000-0005-0000-0000-00001E070000}"/>
    <cellStyle name="Comma 8" xfId="1785" xr:uid="{00000000-0005-0000-0000-00001F070000}"/>
    <cellStyle name="Comma 8 2" xfId="28238" xr:uid="{00000000-0005-0000-0000-000020070000}"/>
    <cellStyle name="Comma 9" xfId="1786" xr:uid="{00000000-0005-0000-0000-000021070000}"/>
    <cellStyle name="Comma 9 2" xfId="28239" xr:uid="{00000000-0005-0000-0000-000022070000}"/>
    <cellStyle name="Comma0" xfId="1787" xr:uid="{00000000-0005-0000-0000-000023070000}"/>
    <cellStyle name="Comma0 - Modelo1" xfId="1788" xr:uid="{00000000-0005-0000-0000-000024070000}"/>
    <cellStyle name="Comma0 - Style1" xfId="1789" xr:uid="{00000000-0005-0000-0000-000025070000}"/>
    <cellStyle name="Comma0 - Style4" xfId="1790" xr:uid="{00000000-0005-0000-0000-000026070000}"/>
    <cellStyle name="Comma0 - Style7" xfId="1791" xr:uid="{00000000-0005-0000-0000-000027070000}"/>
    <cellStyle name="Comma0_Biomet Valuation - 4Q10" xfId="1792" xr:uid="{00000000-0005-0000-0000-000028070000}"/>
    <cellStyle name="Comma1" xfId="1793" xr:uid="{00000000-0005-0000-0000-000029070000}"/>
    <cellStyle name="Comma1 - Modelo2" xfId="1794" xr:uid="{00000000-0005-0000-0000-00002A070000}"/>
    <cellStyle name="Comma1 - Style1" xfId="1795" xr:uid="{00000000-0005-0000-0000-00002B070000}"/>
    <cellStyle name="Comma1 - Style2" xfId="1796" xr:uid="{00000000-0005-0000-0000-00002C070000}"/>
    <cellStyle name="Comma2" xfId="1797" xr:uid="{00000000-0005-0000-0000-00002D070000}"/>
    <cellStyle name="Comma3" xfId="1798" xr:uid="{00000000-0005-0000-0000-00002E070000}"/>
    <cellStyle name="Commodity" xfId="1799" xr:uid="{00000000-0005-0000-0000-00002F070000}"/>
    <cellStyle name="Company Name" xfId="1800" xr:uid="{00000000-0005-0000-0000-000030070000}"/>
    <cellStyle name="CompanyName" xfId="1801" xr:uid="{00000000-0005-0000-0000-000031070000}"/>
    <cellStyle name="Compressed" xfId="1802" xr:uid="{00000000-0005-0000-0000-000032070000}"/>
    <cellStyle name="comps" xfId="1803" xr:uid="{00000000-0005-0000-0000-000033070000}"/>
    <cellStyle name="Copied" xfId="1804" xr:uid="{00000000-0005-0000-0000-000034070000}"/>
    <cellStyle name="cr" xfId="1805" xr:uid="{00000000-0005-0000-0000-000035070000}"/>
    <cellStyle name="Credit" xfId="1806" xr:uid="{00000000-0005-0000-0000-000036070000}"/>
    <cellStyle name="Credit subtotal" xfId="1807" xr:uid="{00000000-0005-0000-0000-000037070000}"/>
    <cellStyle name="Credit Total" xfId="1808" xr:uid="{00000000-0005-0000-0000-000038070000}"/>
    <cellStyle name="Cross" xfId="1809" xr:uid="{00000000-0005-0000-0000-000039070000}"/>
    <cellStyle name="cu" xfId="1810" xr:uid="{00000000-0005-0000-0000-00003A070000}"/>
    <cellStyle name="Cuadro 1" xfId="1811" xr:uid="{00000000-0005-0000-0000-00003B070000}"/>
    <cellStyle name="Cuadro 2" xfId="1812" xr:uid="{00000000-0005-0000-0000-00003C070000}"/>
    <cellStyle name="Cur" xfId="1813" xr:uid="{00000000-0005-0000-0000-00003D070000}"/>
    <cellStyle name="Curren - Style2" xfId="1814" xr:uid="{00000000-0005-0000-0000-00003E070000}"/>
    <cellStyle name="Curren - Style2 2" xfId="1815" xr:uid="{00000000-0005-0000-0000-00003F070000}"/>
    <cellStyle name="Curren - Style8" xfId="1816" xr:uid="{00000000-0005-0000-0000-000040070000}"/>
    <cellStyle name="Currency ($)" xfId="1817" xr:uid="{00000000-0005-0000-0000-000041070000}"/>
    <cellStyle name="Currency (£)" xfId="1818" xr:uid="{00000000-0005-0000-0000-000042070000}"/>
    <cellStyle name="Currency (1)" xfId="1819" xr:uid="{00000000-0005-0000-0000-000043070000}"/>
    <cellStyle name="Currency (3)" xfId="1820" xr:uid="{00000000-0005-0000-0000-000044070000}"/>
    <cellStyle name="Currency (no dec.)" xfId="1821" xr:uid="{00000000-0005-0000-0000-000045070000}"/>
    <cellStyle name="Currency [0.00]" xfId="1822" xr:uid="{00000000-0005-0000-0000-000046070000}"/>
    <cellStyle name="Currency [00]" xfId="1823" xr:uid="{00000000-0005-0000-0000-000047070000}"/>
    <cellStyle name="Currency [1]" xfId="1824" xr:uid="{00000000-0005-0000-0000-000048070000}"/>
    <cellStyle name="Currency [2]" xfId="1825" xr:uid="{00000000-0005-0000-0000-000049070000}"/>
    <cellStyle name="Currency [2] 2" xfId="1826" xr:uid="{00000000-0005-0000-0000-00004A070000}"/>
    <cellStyle name="Currency 0" xfId="1827" xr:uid="{00000000-0005-0000-0000-00004B070000}"/>
    <cellStyle name="Currency 0.0" xfId="1828" xr:uid="{00000000-0005-0000-0000-00004C070000}"/>
    <cellStyle name="Currency 0.00" xfId="1829" xr:uid="{00000000-0005-0000-0000-00004D070000}"/>
    <cellStyle name="Currency 0.000" xfId="1830" xr:uid="{00000000-0005-0000-0000-00004E070000}"/>
    <cellStyle name="Currency 10" xfId="1831" xr:uid="{00000000-0005-0000-0000-00004F070000}"/>
    <cellStyle name="Currency 11" xfId="1832" xr:uid="{00000000-0005-0000-0000-000050070000}"/>
    <cellStyle name="Currency 12" xfId="1833" xr:uid="{00000000-0005-0000-0000-000051070000}"/>
    <cellStyle name="Currency 13" xfId="1834" xr:uid="{00000000-0005-0000-0000-000052070000}"/>
    <cellStyle name="Currency 14" xfId="1835" xr:uid="{00000000-0005-0000-0000-000053070000}"/>
    <cellStyle name="Currency 15" xfId="1836" xr:uid="{00000000-0005-0000-0000-000054070000}"/>
    <cellStyle name="Currency 16" xfId="1837" xr:uid="{00000000-0005-0000-0000-000055070000}"/>
    <cellStyle name="Currency 17" xfId="1838" xr:uid="{00000000-0005-0000-0000-000056070000}"/>
    <cellStyle name="Currency 18" xfId="1839" xr:uid="{00000000-0005-0000-0000-000057070000}"/>
    <cellStyle name="Currency 19" xfId="1840" xr:uid="{00000000-0005-0000-0000-000058070000}"/>
    <cellStyle name="Currency 2" xfId="1841" xr:uid="{00000000-0005-0000-0000-000059070000}"/>
    <cellStyle name="Currency 2 2" xfId="1842" xr:uid="{00000000-0005-0000-0000-00005A070000}"/>
    <cellStyle name="Currency 20" xfId="1843" xr:uid="{00000000-0005-0000-0000-00005B070000}"/>
    <cellStyle name="Currency 21" xfId="1844" xr:uid="{00000000-0005-0000-0000-00005C070000}"/>
    <cellStyle name="Currency 22" xfId="1845" xr:uid="{00000000-0005-0000-0000-00005D070000}"/>
    <cellStyle name="Currency 23" xfId="1846" xr:uid="{00000000-0005-0000-0000-00005E070000}"/>
    <cellStyle name="Currency 24" xfId="1847" xr:uid="{00000000-0005-0000-0000-00005F070000}"/>
    <cellStyle name="Currency 3" xfId="1848" xr:uid="{00000000-0005-0000-0000-000060070000}"/>
    <cellStyle name="Currency 4" xfId="1849" xr:uid="{00000000-0005-0000-0000-000061070000}"/>
    <cellStyle name="Currency 5" xfId="1850" xr:uid="{00000000-0005-0000-0000-000062070000}"/>
    <cellStyle name="Currency 6" xfId="1851" xr:uid="{00000000-0005-0000-0000-000063070000}"/>
    <cellStyle name="Currency 7" xfId="1852" xr:uid="{00000000-0005-0000-0000-000064070000}"/>
    <cellStyle name="Currency 8" xfId="1853" xr:uid="{00000000-0005-0000-0000-000065070000}"/>
    <cellStyle name="Currency 9" xfId="1854" xr:uid="{00000000-0005-0000-0000-000066070000}"/>
    <cellStyle name="Currency(1)" xfId="1855" xr:uid="{00000000-0005-0000-0000-000067070000}"/>
    <cellStyle name="Currency0" xfId="1856" xr:uid="{00000000-0005-0000-0000-000068070000}"/>
    <cellStyle name="Currency1" xfId="1857" xr:uid="{00000000-0005-0000-0000-000069070000}"/>
    <cellStyle name="Currency3" xfId="1858" xr:uid="{00000000-0005-0000-0000-00006A070000}"/>
    <cellStyle name="Currency-Denomination" xfId="1859" xr:uid="{00000000-0005-0000-0000-00006B070000}"/>
    <cellStyle name="Currency-Denomination 2" xfId="1860" xr:uid="{00000000-0005-0000-0000-00006C070000}"/>
    <cellStyle name="Currency-Denomination_ar and other liab_AS - with normalisations (3)" xfId="1861" xr:uid="{00000000-0005-0000-0000-00006D070000}"/>
    <cellStyle name="cv" xfId="1862" xr:uid="{00000000-0005-0000-0000-00006E070000}"/>
    <cellStyle name="cwenter" xfId="1863" xr:uid="{00000000-0005-0000-0000-00006F070000}"/>
    <cellStyle name="d" xfId="1864" xr:uid="{00000000-0005-0000-0000-000070070000}"/>
    <cellStyle name="D," xfId="1865" xr:uid="{00000000-0005-0000-0000-000071070000}"/>
    <cellStyle name="d,1," xfId="1866" xr:uid="{00000000-0005-0000-0000-000072070000}"/>
    <cellStyle name="d,1, 2" xfId="1867" xr:uid="{00000000-0005-0000-0000-000073070000}"/>
    <cellStyle name="d." xfId="1868" xr:uid="{00000000-0005-0000-0000-000074070000}"/>
    <cellStyle name="d.." xfId="1869" xr:uid="{00000000-0005-0000-0000-000075070000}"/>
    <cellStyle name="d.1" xfId="1870" xr:uid="{00000000-0005-0000-0000-000076070000}"/>
    <cellStyle name="d_Goodwill Allocation" xfId="1871" xr:uid="{00000000-0005-0000-0000-000077070000}"/>
    <cellStyle name="d_Segment Model v13 - irrs" xfId="1872" xr:uid="{00000000-0005-0000-0000-000078070000}"/>
    <cellStyle name="d_Segment Model v13 - irrs2" xfId="1873" xr:uid="{00000000-0005-0000-0000-000079070000}"/>
    <cellStyle name="d_Vineyard v17 (Pat)" xfId="1874" xr:uid="{00000000-0005-0000-0000-00007A070000}"/>
    <cellStyle name="d1" xfId="1875" xr:uid="{00000000-0005-0000-0000-00007B070000}"/>
    <cellStyle name="d1," xfId="1876" xr:uid="{00000000-0005-0000-0000-00007C070000}"/>
    <cellStyle name="d1_Biomet Valuation - 4Q10" xfId="1877" xr:uid="{00000000-0005-0000-0000-00007D070000}"/>
    <cellStyle name="d1`" xfId="1878" xr:uid="{00000000-0005-0000-0000-00007E070000}"/>
    <cellStyle name="d12" xfId="1879" xr:uid="{00000000-0005-0000-0000-00007F070000}"/>
    <cellStyle name="d2" xfId="1880" xr:uid="{00000000-0005-0000-0000-000080070000}"/>
    <cellStyle name="d2," xfId="1881" xr:uid="{00000000-0005-0000-0000-000081070000}"/>
    <cellStyle name="d2\" xfId="1882" xr:uid="{00000000-0005-0000-0000-000082070000}"/>
    <cellStyle name="d2_Biomet Valuation - 4Q10" xfId="1883" xr:uid="{00000000-0005-0000-0000-000083070000}"/>
    <cellStyle name="d3" xfId="1884" xr:uid="{00000000-0005-0000-0000-000084070000}"/>
    <cellStyle name="da" xfId="1885" xr:uid="{00000000-0005-0000-0000-000085070000}"/>
    <cellStyle name="da1" xfId="1886" xr:uid="{00000000-0005-0000-0000-000086070000}"/>
    <cellStyle name="da2" xfId="1887" xr:uid="{00000000-0005-0000-0000-000087070000}"/>
    <cellStyle name="Dark Title" xfId="1888" xr:uid="{00000000-0005-0000-0000-000088070000}"/>
    <cellStyle name="Dash" xfId="1889" xr:uid="{00000000-0005-0000-0000-000089070000}"/>
    <cellStyle name="Dash 2" xfId="28240" xr:uid="{00000000-0005-0000-0000-00008A070000}"/>
    <cellStyle name="Data" xfId="1890" xr:uid="{00000000-0005-0000-0000-00008B070000}"/>
    <cellStyle name="Data Entry" xfId="1891" xr:uid="{00000000-0005-0000-0000-00008C070000}"/>
    <cellStyle name="data_CDM, MLP Valuation Model, 2007-03, v15" xfId="1892" xr:uid="{00000000-0005-0000-0000-00008D070000}"/>
    <cellStyle name="Date" xfId="1893" xr:uid="{00000000-0005-0000-0000-00008E070000}"/>
    <cellStyle name="Date - Style3" xfId="1894" xr:uid="{00000000-0005-0000-0000-00008F070000}"/>
    <cellStyle name="Date [mmm-yy]" xfId="1895" xr:uid="{00000000-0005-0000-0000-000090070000}"/>
    <cellStyle name="Date Aligned" xfId="1896" xr:uid="{00000000-0005-0000-0000-000091070000}"/>
    <cellStyle name="Date dd-mmm" xfId="1897" xr:uid="{00000000-0005-0000-0000-000092070000}"/>
    <cellStyle name="Date dd-mmm-yy" xfId="1898" xr:uid="{00000000-0005-0000-0000-000093070000}"/>
    <cellStyle name="Date mmm-yy" xfId="1899" xr:uid="{00000000-0005-0000-0000-000094070000}"/>
    <cellStyle name="date month-year" xfId="1900" xr:uid="{00000000-0005-0000-0000-000095070000}"/>
    <cellStyle name="Date_2003.07 MDP Stub Model" xfId="1901" xr:uid="{00000000-0005-0000-0000-000096070000}"/>
    <cellStyle name="Date1" xfId="1902" xr:uid="{00000000-0005-0000-0000-000097070000}"/>
    <cellStyle name="Date2" xfId="1903" xr:uid="{00000000-0005-0000-0000-000098070000}"/>
    <cellStyle name="Dates" xfId="1904" xr:uid="{00000000-0005-0000-0000-000099070000}"/>
    <cellStyle name="DateTime" xfId="1905" xr:uid="{00000000-0005-0000-0000-00009A070000}"/>
    <cellStyle name="DateTime 2" xfId="1906" xr:uid="{00000000-0005-0000-0000-00009B070000}"/>
    <cellStyle name="DateYear" xfId="1907" xr:uid="{00000000-0005-0000-0000-00009C070000}"/>
    <cellStyle name="Dato" xfId="1908" xr:uid="{00000000-0005-0000-0000-00009D070000}"/>
    <cellStyle name="Dato 2" xfId="1909" xr:uid="{00000000-0005-0000-0000-00009E070000}"/>
    <cellStyle name="DAv" xfId="1910" xr:uid="{00000000-0005-0000-0000-00009F070000}"/>
    <cellStyle name="Day" xfId="1911" xr:uid="{00000000-0005-0000-0000-0000A0070000}"/>
    <cellStyle name="db" xfId="1912" xr:uid="{00000000-0005-0000-0000-0000A1070000}"/>
    <cellStyle name="Debit" xfId="1913" xr:uid="{00000000-0005-0000-0000-0000A2070000}"/>
    <cellStyle name="Debit subtotal" xfId="1914" xr:uid="{00000000-0005-0000-0000-0000A3070000}"/>
    <cellStyle name="Debit Total" xfId="1915" xr:uid="{00000000-0005-0000-0000-0000A4070000}"/>
    <cellStyle name="debt_paydown" xfId="1916" xr:uid="{00000000-0005-0000-0000-0000A5070000}"/>
    <cellStyle name="decimal 0" xfId="1917" xr:uid="{00000000-0005-0000-0000-0000A6070000}"/>
    <cellStyle name="decimal 1" xfId="1918" xr:uid="{00000000-0005-0000-0000-0000A7070000}"/>
    <cellStyle name="decimal 2" xfId="1919" xr:uid="{00000000-0005-0000-0000-0000A8070000}"/>
    <cellStyle name="Decimal_0dp" xfId="1920" xr:uid="{00000000-0005-0000-0000-0000A9070000}"/>
    <cellStyle name="depart" xfId="1921" xr:uid="{00000000-0005-0000-0000-0000AA070000}"/>
    <cellStyle name="Deviant" xfId="1922" xr:uid="{00000000-0005-0000-0000-0000AB070000}"/>
    <cellStyle name="Dia" xfId="1923" xr:uid="{00000000-0005-0000-0000-0000AC070000}"/>
    <cellStyle name="Diseño" xfId="1924" xr:uid="{00000000-0005-0000-0000-0000AD070000}"/>
    <cellStyle name="dlj_drl_pen" xfId="1925" xr:uid="{00000000-0005-0000-0000-0000AE070000}"/>
    <cellStyle name="dm" xfId="1926" xr:uid="{00000000-0005-0000-0000-0000AF070000}"/>
    <cellStyle name="dollar" xfId="1927" xr:uid="{00000000-0005-0000-0000-0000B0070000}"/>
    <cellStyle name="Dollar - Style5" xfId="1928" xr:uid="{00000000-0005-0000-0000-0000B1070000}"/>
    <cellStyle name="Dollar_Biomet Valuation - 4Q10" xfId="1929" xr:uid="{00000000-0005-0000-0000-0000B2070000}"/>
    <cellStyle name="Dollar1" xfId="1930" xr:uid="{00000000-0005-0000-0000-0000B3070000}"/>
    <cellStyle name="Dollar1Blue" xfId="1931" xr:uid="{00000000-0005-0000-0000-0000B4070000}"/>
    <cellStyle name="Dollar2" xfId="1932" xr:uid="{00000000-0005-0000-0000-0000B5070000}"/>
    <cellStyle name="Dollars" xfId="1933" xr:uid="{00000000-0005-0000-0000-0000B6070000}"/>
    <cellStyle name="DollarWhole" xfId="1934" xr:uid="{00000000-0005-0000-0000-0000B7070000}"/>
    <cellStyle name="DollarWhole 2" xfId="1935" xr:uid="{00000000-0005-0000-0000-0000B8070000}"/>
    <cellStyle name="Donnees" xfId="1936" xr:uid="{00000000-0005-0000-0000-0000B9070000}"/>
    <cellStyle name="Dotted Line" xfId="1937" xr:uid="{00000000-0005-0000-0000-0000BA070000}"/>
    <cellStyle name="Double" xfId="1938" xr:uid="{00000000-0005-0000-0000-0000BB070000}"/>
    <cellStyle name="Double Accounting" xfId="1939" xr:uid="{00000000-0005-0000-0000-0000BC070000}"/>
    <cellStyle name="Double Underline" xfId="1940" xr:uid="{00000000-0005-0000-0000-0000BD070000}"/>
    <cellStyle name="double underscore" xfId="1941" xr:uid="{00000000-0005-0000-0000-0000BE070000}"/>
    <cellStyle name="DQ" xfId="1942" xr:uid="{00000000-0005-0000-0000-0000BF070000}"/>
    <cellStyle name="DropDown" xfId="1943" xr:uid="{00000000-0005-0000-0000-0000C0070000}"/>
    <cellStyle name="du" xfId="1944" xr:uid="{00000000-0005-0000-0000-0000C1070000}"/>
    <cellStyle name="E" xfId="1945" xr:uid="{00000000-0005-0000-0000-0000C2070000}"/>
    <cellStyle name="e_2008 GDC Budget Walk" xfId="1946" xr:uid="{00000000-0005-0000-0000-0000C3070000}"/>
    <cellStyle name="e_2008 GDC Budget Walk 2" xfId="1947" xr:uid="{00000000-0005-0000-0000-0000C4070000}"/>
    <cellStyle name="e_Conference Details" xfId="1948" xr:uid="{00000000-0005-0000-0000-0000C5070000}"/>
    <cellStyle name="e_G&amp;A Opportunity 02-02-09" xfId="1949" xr:uid="{00000000-0005-0000-0000-0000C6070000}"/>
    <cellStyle name="e_G&amp;A Summary 01-09" xfId="1950" xr:uid="{00000000-0005-0000-0000-0000C7070000}"/>
    <cellStyle name="e_G&amp;A Summary 01-09 2" xfId="1951" xr:uid="{00000000-0005-0000-0000-0000C8070000}"/>
    <cellStyle name="e_Inputs" xfId="1952" xr:uid="{00000000-0005-0000-0000-0000C9070000}"/>
    <cellStyle name="e_Inputs 2" xfId="1953" xr:uid="{00000000-0005-0000-0000-0000CA070000}"/>
    <cellStyle name="e1" xfId="1954" xr:uid="{00000000-0005-0000-0000-0000CB070000}"/>
    <cellStyle name="e1 2" xfId="1955" xr:uid="{00000000-0005-0000-0000-0000CC070000}"/>
    <cellStyle name="e2" xfId="1956" xr:uid="{00000000-0005-0000-0000-0000CD070000}"/>
    <cellStyle name="e2 2" xfId="1957" xr:uid="{00000000-0005-0000-0000-0000CE070000}"/>
    <cellStyle name="Echantillon" xfId="1958" xr:uid="{00000000-0005-0000-0000-0000CF070000}"/>
    <cellStyle name="Emphasis 1" xfId="1959" xr:uid="{00000000-0005-0000-0000-0000D0070000}"/>
    <cellStyle name="Emphasis 1 2" xfId="1960" xr:uid="{00000000-0005-0000-0000-0000D1070000}"/>
    <cellStyle name="Emphasis 2" xfId="1961" xr:uid="{00000000-0005-0000-0000-0000D2070000}"/>
    <cellStyle name="Emphasis 2 2" xfId="1962" xr:uid="{00000000-0005-0000-0000-0000D3070000}"/>
    <cellStyle name="Emphasis 3" xfId="1963" xr:uid="{00000000-0005-0000-0000-0000D4070000}"/>
    <cellStyle name="Emphasis 3 2" xfId="1964" xr:uid="{00000000-0005-0000-0000-0000D5070000}"/>
    <cellStyle name="Empty" xfId="1965" xr:uid="{00000000-0005-0000-0000-0000D6070000}"/>
    <cellStyle name="Empty 2" xfId="1966" xr:uid="{00000000-0005-0000-0000-0000D7070000}"/>
    <cellStyle name="Empty 2 2" xfId="27868" xr:uid="{00000000-0005-0000-0000-0000D8070000}"/>
    <cellStyle name="Empty 2 2 2" xfId="27958" xr:uid="{00000000-0005-0000-0000-0000D9070000}"/>
    <cellStyle name="Empty 2 2 2 2" xfId="28180" xr:uid="{00000000-0005-0000-0000-0000DA070000}"/>
    <cellStyle name="Empty 2 2 3" xfId="28191" xr:uid="{00000000-0005-0000-0000-0000DB070000}"/>
    <cellStyle name="Empty 3" xfId="27867" xr:uid="{00000000-0005-0000-0000-0000DC070000}"/>
    <cellStyle name="Empty 3 2" xfId="27957" xr:uid="{00000000-0005-0000-0000-0000DD070000}"/>
    <cellStyle name="Empty 3 2 2" xfId="28181" xr:uid="{00000000-0005-0000-0000-0000DE070000}"/>
    <cellStyle name="Empty 3 3" xfId="28190" xr:uid="{00000000-0005-0000-0000-0000DF070000}"/>
    <cellStyle name="en dash" xfId="1967" xr:uid="{00000000-0005-0000-0000-0000E0070000}"/>
    <cellStyle name="Encabez1" xfId="1968" xr:uid="{00000000-0005-0000-0000-0000E1070000}"/>
    <cellStyle name="Encabez2" xfId="1969" xr:uid="{00000000-0005-0000-0000-0000E2070000}"/>
    <cellStyle name="Entered" xfId="1970" xr:uid="{00000000-0005-0000-0000-0000E3070000}"/>
    <cellStyle name="Entete" xfId="1971" xr:uid="{00000000-0005-0000-0000-0000E4070000}"/>
    <cellStyle name="En-tête" xfId="1972" xr:uid="{00000000-0005-0000-0000-0000E5070000}"/>
    <cellStyle name="Euro" xfId="1973" xr:uid="{00000000-0005-0000-0000-0000E6070000}"/>
    <cellStyle name="Euro 2" xfId="1974" xr:uid="{00000000-0005-0000-0000-0000E7070000}"/>
    <cellStyle name="Excel.Chart" xfId="1975" xr:uid="{00000000-0005-0000-0000-0000E8070000}"/>
    <cellStyle name="F2" xfId="1976" xr:uid="{00000000-0005-0000-0000-0000E9070000}"/>
    <cellStyle name="F3" xfId="1977" xr:uid="{00000000-0005-0000-0000-0000EA070000}"/>
    <cellStyle name="F4" xfId="1978" xr:uid="{00000000-0005-0000-0000-0000EB070000}"/>
    <cellStyle name="F5" xfId="1979" xr:uid="{00000000-0005-0000-0000-0000EC070000}"/>
    <cellStyle name="F6" xfId="1980" xr:uid="{00000000-0005-0000-0000-0000ED070000}"/>
    <cellStyle name="F7" xfId="1981" xr:uid="{00000000-0005-0000-0000-0000EE070000}"/>
    <cellStyle name="F8" xfId="1982" xr:uid="{00000000-0005-0000-0000-0000EF070000}"/>
    <cellStyle name="Fc" xfId="1983" xr:uid="{00000000-0005-0000-0000-0000F0070000}"/>
    <cellStyle name="Fecha" xfId="1984" xr:uid="{00000000-0005-0000-0000-0000F1070000}"/>
    <cellStyle name="Fijo" xfId="1985" xr:uid="{00000000-0005-0000-0000-0000F2070000}"/>
    <cellStyle name="Finan?ní0" xfId="1986" xr:uid="{00000000-0005-0000-0000-0000F3070000}"/>
    <cellStyle name="Financiero" xfId="1987" xr:uid="{00000000-0005-0000-0000-0000F4070000}"/>
    <cellStyle name="Finanční0" xfId="1988" xr:uid="{00000000-0005-0000-0000-0000F5070000}"/>
    <cellStyle name="First Column" xfId="1989" xr:uid="{00000000-0005-0000-0000-0000F6070000}"/>
    <cellStyle name="Fixed" xfId="1990" xr:uid="{00000000-0005-0000-0000-0000F7070000}"/>
    <cellStyle name="Fixed0" xfId="1991" xr:uid="{00000000-0005-0000-0000-0000F8070000}"/>
    <cellStyle name="Fixed2 - Style2" xfId="1992" xr:uid="{00000000-0005-0000-0000-0000F9070000}"/>
    <cellStyle name="Fixed4 - Style4" xfId="1993" xr:uid="{00000000-0005-0000-0000-0000FA070000}"/>
    <cellStyle name="font" xfId="1994" xr:uid="{00000000-0005-0000-0000-0000FB070000}"/>
    <cellStyle name="FOOTER - Style1" xfId="1995" xr:uid="{00000000-0005-0000-0000-0000FC070000}"/>
    <cellStyle name="Footnote" xfId="1996" xr:uid="{00000000-0005-0000-0000-0000FD070000}"/>
    <cellStyle name="Footnotes" xfId="1997" xr:uid="{00000000-0005-0000-0000-0000FE070000}"/>
    <cellStyle name="Forecast Cell Column Heading" xfId="1998" xr:uid="{00000000-0005-0000-0000-0000FF070000}"/>
    <cellStyle name="Forecast Cell Column Heading 2" xfId="1999" xr:uid="{00000000-0005-0000-0000-000000080000}"/>
    <cellStyle name="Forecast Cell Column Heading_ar and other liab_AS - with normalisations (3)" xfId="2000" xr:uid="{00000000-0005-0000-0000-000001080000}"/>
    <cellStyle name="Formula" xfId="2001" xr:uid="{00000000-0005-0000-0000-000002080000}"/>
    <cellStyle name="g" xfId="2002" xr:uid="{00000000-0005-0000-0000-000003080000}"/>
    <cellStyle name="gabriele" xfId="2003" xr:uid="{00000000-0005-0000-0000-000004080000}"/>
    <cellStyle name="general" xfId="2004" xr:uid="{00000000-0005-0000-0000-000005080000}"/>
    <cellStyle name="generral" xfId="2005" xr:uid="{00000000-0005-0000-0000-000006080000}"/>
    <cellStyle name="gi" xfId="2006" xr:uid="{00000000-0005-0000-0000-000007080000}"/>
    <cellStyle name="giallo" xfId="2007" xr:uid="{00000000-0005-0000-0000-000008080000}"/>
    <cellStyle name="giallo 2" xfId="27869" xr:uid="{00000000-0005-0000-0000-000009080000}"/>
    <cellStyle name="Good 10" xfId="2008" xr:uid="{00000000-0005-0000-0000-00000A080000}"/>
    <cellStyle name="Good 11" xfId="2009" xr:uid="{00000000-0005-0000-0000-00000B080000}"/>
    <cellStyle name="Good 12" xfId="2010" xr:uid="{00000000-0005-0000-0000-00000C080000}"/>
    <cellStyle name="Good 13" xfId="2011" xr:uid="{00000000-0005-0000-0000-00000D080000}"/>
    <cellStyle name="Good 14" xfId="2012" xr:uid="{00000000-0005-0000-0000-00000E080000}"/>
    <cellStyle name="Good 15" xfId="2013" xr:uid="{00000000-0005-0000-0000-00000F080000}"/>
    <cellStyle name="Good 16" xfId="2014" xr:uid="{00000000-0005-0000-0000-000010080000}"/>
    <cellStyle name="Good 17" xfId="2015" xr:uid="{00000000-0005-0000-0000-000011080000}"/>
    <cellStyle name="Good 18" xfId="2016" xr:uid="{00000000-0005-0000-0000-000012080000}"/>
    <cellStyle name="Good 19" xfId="2017" xr:uid="{00000000-0005-0000-0000-000013080000}"/>
    <cellStyle name="Good 2" xfId="2018" xr:uid="{00000000-0005-0000-0000-000014080000}"/>
    <cellStyle name="Good 20" xfId="2019" xr:uid="{00000000-0005-0000-0000-000015080000}"/>
    <cellStyle name="Good 21" xfId="2020" xr:uid="{00000000-0005-0000-0000-000016080000}"/>
    <cellStyle name="Good 22" xfId="2021" xr:uid="{00000000-0005-0000-0000-000017080000}"/>
    <cellStyle name="Good 23" xfId="2022" xr:uid="{00000000-0005-0000-0000-000018080000}"/>
    <cellStyle name="Good 24" xfId="2023" xr:uid="{00000000-0005-0000-0000-000019080000}"/>
    <cellStyle name="Good 25" xfId="2024" xr:uid="{00000000-0005-0000-0000-00001A080000}"/>
    <cellStyle name="Good 26" xfId="2025" xr:uid="{00000000-0005-0000-0000-00001B080000}"/>
    <cellStyle name="Good 27" xfId="2026" xr:uid="{00000000-0005-0000-0000-00001C080000}"/>
    <cellStyle name="Good 28" xfId="2027" xr:uid="{00000000-0005-0000-0000-00001D080000}"/>
    <cellStyle name="Good 29" xfId="2028" xr:uid="{00000000-0005-0000-0000-00001E080000}"/>
    <cellStyle name="Good 3" xfId="2029" xr:uid="{00000000-0005-0000-0000-00001F080000}"/>
    <cellStyle name="Good 30" xfId="2030" xr:uid="{00000000-0005-0000-0000-000020080000}"/>
    <cellStyle name="Good 31" xfId="2031" xr:uid="{00000000-0005-0000-0000-000021080000}"/>
    <cellStyle name="Good 32" xfId="2032" xr:uid="{00000000-0005-0000-0000-000022080000}"/>
    <cellStyle name="Good 33" xfId="2033" xr:uid="{00000000-0005-0000-0000-000023080000}"/>
    <cellStyle name="Good 34" xfId="2034" xr:uid="{00000000-0005-0000-0000-000024080000}"/>
    <cellStyle name="Good 35" xfId="2035" xr:uid="{00000000-0005-0000-0000-000025080000}"/>
    <cellStyle name="Good 36" xfId="2036" xr:uid="{00000000-0005-0000-0000-000026080000}"/>
    <cellStyle name="Good 37" xfId="2037" xr:uid="{00000000-0005-0000-0000-000027080000}"/>
    <cellStyle name="Good 38" xfId="2038" xr:uid="{00000000-0005-0000-0000-000028080000}"/>
    <cellStyle name="Good 39" xfId="2039" xr:uid="{00000000-0005-0000-0000-000029080000}"/>
    <cellStyle name="Good 4" xfId="2040" xr:uid="{00000000-0005-0000-0000-00002A080000}"/>
    <cellStyle name="Good 40" xfId="2041" xr:uid="{00000000-0005-0000-0000-00002B080000}"/>
    <cellStyle name="Good 41" xfId="2042" xr:uid="{00000000-0005-0000-0000-00002C080000}"/>
    <cellStyle name="Good 42" xfId="2043" xr:uid="{00000000-0005-0000-0000-00002D080000}"/>
    <cellStyle name="Good 43" xfId="2044" xr:uid="{00000000-0005-0000-0000-00002E080000}"/>
    <cellStyle name="Good 44" xfId="2045" xr:uid="{00000000-0005-0000-0000-00002F080000}"/>
    <cellStyle name="Good 45" xfId="2046" xr:uid="{00000000-0005-0000-0000-000030080000}"/>
    <cellStyle name="Good 46" xfId="2047" xr:uid="{00000000-0005-0000-0000-000031080000}"/>
    <cellStyle name="Good 47" xfId="2048" xr:uid="{00000000-0005-0000-0000-000032080000}"/>
    <cellStyle name="Good 48" xfId="2049" xr:uid="{00000000-0005-0000-0000-000033080000}"/>
    <cellStyle name="Good 49" xfId="2050" xr:uid="{00000000-0005-0000-0000-000034080000}"/>
    <cellStyle name="Good 5" xfId="2051" xr:uid="{00000000-0005-0000-0000-000035080000}"/>
    <cellStyle name="Good 50" xfId="2052" xr:uid="{00000000-0005-0000-0000-000036080000}"/>
    <cellStyle name="Good 51" xfId="2053" xr:uid="{00000000-0005-0000-0000-000037080000}"/>
    <cellStyle name="Good 52" xfId="2054" xr:uid="{00000000-0005-0000-0000-000038080000}"/>
    <cellStyle name="Good 53" xfId="2055" xr:uid="{00000000-0005-0000-0000-000039080000}"/>
    <cellStyle name="Good 54" xfId="2056" xr:uid="{00000000-0005-0000-0000-00003A080000}"/>
    <cellStyle name="Good 55" xfId="2057" xr:uid="{00000000-0005-0000-0000-00003B080000}"/>
    <cellStyle name="Good 56" xfId="2058" xr:uid="{00000000-0005-0000-0000-00003C080000}"/>
    <cellStyle name="Good 57" xfId="2059" xr:uid="{00000000-0005-0000-0000-00003D080000}"/>
    <cellStyle name="Good 58" xfId="2060" xr:uid="{00000000-0005-0000-0000-00003E080000}"/>
    <cellStyle name="Good 59" xfId="2061" xr:uid="{00000000-0005-0000-0000-00003F080000}"/>
    <cellStyle name="Good 6" xfId="2062" xr:uid="{00000000-0005-0000-0000-000040080000}"/>
    <cellStyle name="Good 60" xfId="2063" xr:uid="{00000000-0005-0000-0000-000041080000}"/>
    <cellStyle name="Good 61" xfId="2064" xr:uid="{00000000-0005-0000-0000-000042080000}"/>
    <cellStyle name="Good 62" xfId="2065" xr:uid="{00000000-0005-0000-0000-000043080000}"/>
    <cellStyle name="Good 63" xfId="2066" xr:uid="{00000000-0005-0000-0000-000044080000}"/>
    <cellStyle name="Good 64" xfId="2067" xr:uid="{00000000-0005-0000-0000-000045080000}"/>
    <cellStyle name="Good 65" xfId="2068" xr:uid="{00000000-0005-0000-0000-000046080000}"/>
    <cellStyle name="Good 66" xfId="2069" xr:uid="{00000000-0005-0000-0000-000047080000}"/>
    <cellStyle name="Good 67" xfId="2070" xr:uid="{00000000-0005-0000-0000-000048080000}"/>
    <cellStyle name="Good 68" xfId="2071" xr:uid="{00000000-0005-0000-0000-000049080000}"/>
    <cellStyle name="Good 69" xfId="2072" xr:uid="{00000000-0005-0000-0000-00004A080000}"/>
    <cellStyle name="Good 7" xfId="2073" xr:uid="{00000000-0005-0000-0000-00004B080000}"/>
    <cellStyle name="Good 70" xfId="2074" xr:uid="{00000000-0005-0000-0000-00004C080000}"/>
    <cellStyle name="Good 71" xfId="2075" xr:uid="{00000000-0005-0000-0000-00004D080000}"/>
    <cellStyle name="Good 72" xfId="2076" xr:uid="{00000000-0005-0000-0000-00004E080000}"/>
    <cellStyle name="Good 73" xfId="2077" xr:uid="{00000000-0005-0000-0000-00004F080000}"/>
    <cellStyle name="Good 74" xfId="2078" xr:uid="{00000000-0005-0000-0000-000050080000}"/>
    <cellStyle name="Good 75" xfId="2079" xr:uid="{00000000-0005-0000-0000-000051080000}"/>
    <cellStyle name="Good 76" xfId="2080" xr:uid="{00000000-0005-0000-0000-000052080000}"/>
    <cellStyle name="Good 77" xfId="2081" xr:uid="{00000000-0005-0000-0000-000053080000}"/>
    <cellStyle name="Good 78" xfId="2082" xr:uid="{00000000-0005-0000-0000-000054080000}"/>
    <cellStyle name="Good 79" xfId="2083" xr:uid="{00000000-0005-0000-0000-000055080000}"/>
    <cellStyle name="Good 8" xfId="2084" xr:uid="{00000000-0005-0000-0000-000056080000}"/>
    <cellStyle name="Good 9" xfId="2085" xr:uid="{00000000-0005-0000-0000-000057080000}"/>
    <cellStyle name="grayText2" xfId="2086" xr:uid="{00000000-0005-0000-0000-000058080000}"/>
    <cellStyle name="grayText2Big" xfId="2087" xr:uid="{00000000-0005-0000-0000-000059080000}"/>
    <cellStyle name="Green" xfId="2088" xr:uid="{00000000-0005-0000-0000-00005A080000}"/>
    <cellStyle name="Grey" xfId="2089" xr:uid="{00000000-0005-0000-0000-00005B080000}"/>
    <cellStyle name="Growth%" xfId="2090" xr:uid="{00000000-0005-0000-0000-00005C080000}"/>
    <cellStyle name="GrowthRate" xfId="2091" xr:uid="{00000000-0005-0000-0000-00005D080000}"/>
    <cellStyle name="h" xfId="2092" xr:uid="{00000000-0005-0000-0000-00005E080000}"/>
    <cellStyle name="h 2" xfId="28241" xr:uid="{00000000-0005-0000-0000-00005F080000}"/>
    <cellStyle name="Hard" xfId="2093" xr:uid="{00000000-0005-0000-0000-000060080000}"/>
    <cellStyle name="hard no." xfId="2094" xr:uid="{00000000-0005-0000-0000-000061080000}"/>
    <cellStyle name="Hard Percent" xfId="2095" xr:uid="{00000000-0005-0000-0000-000062080000}"/>
    <cellStyle name="Header" xfId="2096" xr:uid="{00000000-0005-0000-0000-000063080000}"/>
    <cellStyle name="Header1" xfId="2097" xr:uid="{00000000-0005-0000-0000-000064080000}"/>
    <cellStyle name="Header2" xfId="2098" xr:uid="{00000000-0005-0000-0000-000065080000}"/>
    <cellStyle name="Header2 2" xfId="2099" xr:uid="{00000000-0005-0000-0000-000066080000}"/>
    <cellStyle name="Header2 2 2" xfId="2100" xr:uid="{00000000-0005-0000-0000-000067080000}"/>
    <cellStyle name="Header2 2 3" xfId="2101" xr:uid="{00000000-0005-0000-0000-000068080000}"/>
    <cellStyle name="Header2 3" xfId="2102" xr:uid="{00000000-0005-0000-0000-000069080000}"/>
    <cellStyle name="Header2 4" xfId="2103" xr:uid="{00000000-0005-0000-0000-00006A080000}"/>
    <cellStyle name="headers" xfId="2104" xr:uid="{00000000-0005-0000-0000-00006B080000}"/>
    <cellStyle name="Headin - Style3" xfId="2105" xr:uid="{00000000-0005-0000-0000-00006C080000}"/>
    <cellStyle name="Headin - Style6" xfId="2106" xr:uid="{00000000-0005-0000-0000-00006D080000}"/>
    <cellStyle name="Heading" xfId="2107" xr:uid="{00000000-0005-0000-0000-00006E080000}"/>
    <cellStyle name="Heading 1 10" xfId="2108" xr:uid="{00000000-0005-0000-0000-00006F080000}"/>
    <cellStyle name="Heading 1 11" xfId="2109" xr:uid="{00000000-0005-0000-0000-000070080000}"/>
    <cellStyle name="Heading 1 12" xfId="2110" xr:uid="{00000000-0005-0000-0000-000071080000}"/>
    <cellStyle name="Heading 1 13" xfId="2111" xr:uid="{00000000-0005-0000-0000-000072080000}"/>
    <cellStyle name="Heading 1 14" xfId="2112" xr:uid="{00000000-0005-0000-0000-000073080000}"/>
    <cellStyle name="Heading 1 15" xfId="2113" xr:uid="{00000000-0005-0000-0000-000074080000}"/>
    <cellStyle name="Heading 1 16" xfId="2114" xr:uid="{00000000-0005-0000-0000-000075080000}"/>
    <cellStyle name="Heading 1 17" xfId="2115" xr:uid="{00000000-0005-0000-0000-000076080000}"/>
    <cellStyle name="Heading 1 18" xfId="2116" xr:uid="{00000000-0005-0000-0000-000077080000}"/>
    <cellStyle name="Heading 1 19" xfId="2117" xr:uid="{00000000-0005-0000-0000-000078080000}"/>
    <cellStyle name="Heading 1 2" xfId="2118" xr:uid="{00000000-0005-0000-0000-000079080000}"/>
    <cellStyle name="Heading 1 20" xfId="2119" xr:uid="{00000000-0005-0000-0000-00007A080000}"/>
    <cellStyle name="Heading 1 21" xfId="2120" xr:uid="{00000000-0005-0000-0000-00007B080000}"/>
    <cellStyle name="Heading 1 22" xfId="2121" xr:uid="{00000000-0005-0000-0000-00007C080000}"/>
    <cellStyle name="Heading 1 23" xfId="2122" xr:uid="{00000000-0005-0000-0000-00007D080000}"/>
    <cellStyle name="Heading 1 24" xfId="2123" xr:uid="{00000000-0005-0000-0000-00007E080000}"/>
    <cellStyle name="Heading 1 25" xfId="2124" xr:uid="{00000000-0005-0000-0000-00007F080000}"/>
    <cellStyle name="Heading 1 26" xfId="2125" xr:uid="{00000000-0005-0000-0000-000080080000}"/>
    <cellStyle name="Heading 1 27" xfId="2126" xr:uid="{00000000-0005-0000-0000-000081080000}"/>
    <cellStyle name="Heading 1 28" xfId="2127" xr:uid="{00000000-0005-0000-0000-000082080000}"/>
    <cellStyle name="Heading 1 29" xfId="2128" xr:uid="{00000000-0005-0000-0000-000083080000}"/>
    <cellStyle name="Heading 1 3" xfId="2129" xr:uid="{00000000-0005-0000-0000-000084080000}"/>
    <cellStyle name="Heading 1 30" xfId="2130" xr:uid="{00000000-0005-0000-0000-000085080000}"/>
    <cellStyle name="Heading 1 31" xfId="2131" xr:uid="{00000000-0005-0000-0000-000086080000}"/>
    <cellStyle name="Heading 1 32" xfId="2132" xr:uid="{00000000-0005-0000-0000-000087080000}"/>
    <cellStyle name="Heading 1 33" xfId="2133" xr:uid="{00000000-0005-0000-0000-000088080000}"/>
    <cellStyle name="Heading 1 34" xfId="2134" xr:uid="{00000000-0005-0000-0000-000089080000}"/>
    <cellStyle name="Heading 1 35" xfId="2135" xr:uid="{00000000-0005-0000-0000-00008A080000}"/>
    <cellStyle name="Heading 1 36" xfId="2136" xr:uid="{00000000-0005-0000-0000-00008B080000}"/>
    <cellStyle name="Heading 1 37" xfId="2137" xr:uid="{00000000-0005-0000-0000-00008C080000}"/>
    <cellStyle name="Heading 1 38" xfId="2138" xr:uid="{00000000-0005-0000-0000-00008D080000}"/>
    <cellStyle name="Heading 1 39" xfId="2139" xr:uid="{00000000-0005-0000-0000-00008E080000}"/>
    <cellStyle name="Heading 1 4" xfId="2140" xr:uid="{00000000-0005-0000-0000-00008F080000}"/>
    <cellStyle name="Heading 1 40" xfId="2141" xr:uid="{00000000-0005-0000-0000-000090080000}"/>
    <cellStyle name="Heading 1 41" xfId="2142" xr:uid="{00000000-0005-0000-0000-000091080000}"/>
    <cellStyle name="Heading 1 42" xfId="2143" xr:uid="{00000000-0005-0000-0000-000092080000}"/>
    <cellStyle name="Heading 1 43" xfId="2144" xr:uid="{00000000-0005-0000-0000-000093080000}"/>
    <cellStyle name="Heading 1 44" xfId="2145" xr:uid="{00000000-0005-0000-0000-000094080000}"/>
    <cellStyle name="Heading 1 45" xfId="2146" xr:uid="{00000000-0005-0000-0000-000095080000}"/>
    <cellStyle name="Heading 1 46" xfId="2147" xr:uid="{00000000-0005-0000-0000-000096080000}"/>
    <cellStyle name="Heading 1 47" xfId="2148" xr:uid="{00000000-0005-0000-0000-000097080000}"/>
    <cellStyle name="Heading 1 48" xfId="2149" xr:uid="{00000000-0005-0000-0000-000098080000}"/>
    <cellStyle name="Heading 1 49" xfId="2150" xr:uid="{00000000-0005-0000-0000-000099080000}"/>
    <cellStyle name="Heading 1 5" xfId="2151" xr:uid="{00000000-0005-0000-0000-00009A080000}"/>
    <cellStyle name="Heading 1 50" xfId="2152" xr:uid="{00000000-0005-0000-0000-00009B080000}"/>
    <cellStyle name="Heading 1 51" xfId="2153" xr:uid="{00000000-0005-0000-0000-00009C080000}"/>
    <cellStyle name="Heading 1 52" xfId="2154" xr:uid="{00000000-0005-0000-0000-00009D080000}"/>
    <cellStyle name="Heading 1 53" xfId="2155" xr:uid="{00000000-0005-0000-0000-00009E080000}"/>
    <cellStyle name="Heading 1 54" xfId="2156" xr:uid="{00000000-0005-0000-0000-00009F080000}"/>
    <cellStyle name="Heading 1 55" xfId="2157" xr:uid="{00000000-0005-0000-0000-0000A0080000}"/>
    <cellStyle name="Heading 1 56" xfId="2158" xr:uid="{00000000-0005-0000-0000-0000A1080000}"/>
    <cellStyle name="Heading 1 57" xfId="2159" xr:uid="{00000000-0005-0000-0000-0000A2080000}"/>
    <cellStyle name="Heading 1 58" xfId="2160" xr:uid="{00000000-0005-0000-0000-0000A3080000}"/>
    <cellStyle name="Heading 1 59" xfId="2161" xr:uid="{00000000-0005-0000-0000-0000A4080000}"/>
    <cellStyle name="Heading 1 6" xfId="2162" xr:uid="{00000000-0005-0000-0000-0000A5080000}"/>
    <cellStyle name="Heading 1 60" xfId="2163" xr:uid="{00000000-0005-0000-0000-0000A6080000}"/>
    <cellStyle name="Heading 1 61" xfId="2164" xr:uid="{00000000-0005-0000-0000-0000A7080000}"/>
    <cellStyle name="Heading 1 62" xfId="2165" xr:uid="{00000000-0005-0000-0000-0000A8080000}"/>
    <cellStyle name="Heading 1 63" xfId="2166" xr:uid="{00000000-0005-0000-0000-0000A9080000}"/>
    <cellStyle name="Heading 1 64" xfId="2167" xr:uid="{00000000-0005-0000-0000-0000AA080000}"/>
    <cellStyle name="Heading 1 65" xfId="2168" xr:uid="{00000000-0005-0000-0000-0000AB080000}"/>
    <cellStyle name="Heading 1 66" xfId="2169" xr:uid="{00000000-0005-0000-0000-0000AC080000}"/>
    <cellStyle name="Heading 1 67" xfId="2170" xr:uid="{00000000-0005-0000-0000-0000AD080000}"/>
    <cellStyle name="Heading 1 68" xfId="2171" xr:uid="{00000000-0005-0000-0000-0000AE080000}"/>
    <cellStyle name="Heading 1 69" xfId="2172" xr:uid="{00000000-0005-0000-0000-0000AF080000}"/>
    <cellStyle name="Heading 1 7" xfId="2173" xr:uid="{00000000-0005-0000-0000-0000B0080000}"/>
    <cellStyle name="Heading 1 70" xfId="2174" xr:uid="{00000000-0005-0000-0000-0000B1080000}"/>
    <cellStyle name="Heading 1 71" xfId="2175" xr:uid="{00000000-0005-0000-0000-0000B2080000}"/>
    <cellStyle name="Heading 1 72" xfId="2176" xr:uid="{00000000-0005-0000-0000-0000B3080000}"/>
    <cellStyle name="Heading 1 73" xfId="2177" xr:uid="{00000000-0005-0000-0000-0000B4080000}"/>
    <cellStyle name="Heading 1 74" xfId="2178" xr:uid="{00000000-0005-0000-0000-0000B5080000}"/>
    <cellStyle name="Heading 1 75" xfId="2179" xr:uid="{00000000-0005-0000-0000-0000B6080000}"/>
    <cellStyle name="Heading 1 76" xfId="2180" xr:uid="{00000000-0005-0000-0000-0000B7080000}"/>
    <cellStyle name="Heading 1 77" xfId="2181" xr:uid="{00000000-0005-0000-0000-0000B8080000}"/>
    <cellStyle name="Heading 1 78" xfId="2182" xr:uid="{00000000-0005-0000-0000-0000B9080000}"/>
    <cellStyle name="Heading 1 79" xfId="2183" xr:uid="{00000000-0005-0000-0000-0000BA080000}"/>
    <cellStyle name="Heading 1 8" xfId="2184" xr:uid="{00000000-0005-0000-0000-0000BB080000}"/>
    <cellStyle name="Heading 1 9" xfId="2185" xr:uid="{00000000-0005-0000-0000-0000BC080000}"/>
    <cellStyle name="Heading 2 10" xfId="2186" xr:uid="{00000000-0005-0000-0000-0000BD080000}"/>
    <cellStyle name="Heading 2 11" xfId="2187" xr:uid="{00000000-0005-0000-0000-0000BE080000}"/>
    <cellStyle name="Heading 2 12" xfId="2188" xr:uid="{00000000-0005-0000-0000-0000BF080000}"/>
    <cellStyle name="Heading 2 13" xfId="2189" xr:uid="{00000000-0005-0000-0000-0000C0080000}"/>
    <cellStyle name="Heading 2 14" xfId="2190" xr:uid="{00000000-0005-0000-0000-0000C1080000}"/>
    <cellStyle name="Heading 2 15" xfId="2191" xr:uid="{00000000-0005-0000-0000-0000C2080000}"/>
    <cellStyle name="Heading 2 16" xfId="2192" xr:uid="{00000000-0005-0000-0000-0000C3080000}"/>
    <cellStyle name="Heading 2 17" xfId="2193" xr:uid="{00000000-0005-0000-0000-0000C4080000}"/>
    <cellStyle name="Heading 2 18" xfId="2194" xr:uid="{00000000-0005-0000-0000-0000C5080000}"/>
    <cellStyle name="Heading 2 19" xfId="2195" xr:uid="{00000000-0005-0000-0000-0000C6080000}"/>
    <cellStyle name="Heading 2 2" xfId="2196" xr:uid="{00000000-0005-0000-0000-0000C7080000}"/>
    <cellStyle name="Heading 2 20" xfId="2197" xr:uid="{00000000-0005-0000-0000-0000C8080000}"/>
    <cellStyle name="Heading 2 21" xfId="2198" xr:uid="{00000000-0005-0000-0000-0000C9080000}"/>
    <cellStyle name="Heading 2 22" xfId="2199" xr:uid="{00000000-0005-0000-0000-0000CA080000}"/>
    <cellStyle name="Heading 2 23" xfId="2200" xr:uid="{00000000-0005-0000-0000-0000CB080000}"/>
    <cellStyle name="Heading 2 24" xfId="2201" xr:uid="{00000000-0005-0000-0000-0000CC080000}"/>
    <cellStyle name="Heading 2 25" xfId="2202" xr:uid="{00000000-0005-0000-0000-0000CD080000}"/>
    <cellStyle name="Heading 2 26" xfId="2203" xr:uid="{00000000-0005-0000-0000-0000CE080000}"/>
    <cellStyle name="Heading 2 27" xfId="2204" xr:uid="{00000000-0005-0000-0000-0000CF080000}"/>
    <cellStyle name="Heading 2 28" xfId="2205" xr:uid="{00000000-0005-0000-0000-0000D0080000}"/>
    <cellStyle name="Heading 2 29" xfId="2206" xr:uid="{00000000-0005-0000-0000-0000D1080000}"/>
    <cellStyle name="Heading 2 3" xfId="2207" xr:uid="{00000000-0005-0000-0000-0000D2080000}"/>
    <cellStyle name="Heading 2 30" xfId="2208" xr:uid="{00000000-0005-0000-0000-0000D3080000}"/>
    <cellStyle name="Heading 2 31" xfId="2209" xr:uid="{00000000-0005-0000-0000-0000D4080000}"/>
    <cellStyle name="Heading 2 32" xfId="2210" xr:uid="{00000000-0005-0000-0000-0000D5080000}"/>
    <cellStyle name="Heading 2 33" xfId="2211" xr:uid="{00000000-0005-0000-0000-0000D6080000}"/>
    <cellStyle name="Heading 2 34" xfId="2212" xr:uid="{00000000-0005-0000-0000-0000D7080000}"/>
    <cellStyle name="Heading 2 35" xfId="2213" xr:uid="{00000000-0005-0000-0000-0000D8080000}"/>
    <cellStyle name="Heading 2 36" xfId="2214" xr:uid="{00000000-0005-0000-0000-0000D9080000}"/>
    <cellStyle name="Heading 2 37" xfId="2215" xr:uid="{00000000-0005-0000-0000-0000DA080000}"/>
    <cellStyle name="Heading 2 38" xfId="2216" xr:uid="{00000000-0005-0000-0000-0000DB080000}"/>
    <cellStyle name="Heading 2 39" xfId="2217" xr:uid="{00000000-0005-0000-0000-0000DC080000}"/>
    <cellStyle name="Heading 2 4" xfId="2218" xr:uid="{00000000-0005-0000-0000-0000DD080000}"/>
    <cellStyle name="Heading 2 40" xfId="2219" xr:uid="{00000000-0005-0000-0000-0000DE080000}"/>
    <cellStyle name="Heading 2 41" xfId="2220" xr:uid="{00000000-0005-0000-0000-0000DF080000}"/>
    <cellStyle name="Heading 2 42" xfId="2221" xr:uid="{00000000-0005-0000-0000-0000E0080000}"/>
    <cellStyle name="Heading 2 43" xfId="2222" xr:uid="{00000000-0005-0000-0000-0000E1080000}"/>
    <cellStyle name="Heading 2 44" xfId="2223" xr:uid="{00000000-0005-0000-0000-0000E2080000}"/>
    <cellStyle name="Heading 2 45" xfId="2224" xr:uid="{00000000-0005-0000-0000-0000E3080000}"/>
    <cellStyle name="Heading 2 46" xfId="2225" xr:uid="{00000000-0005-0000-0000-0000E4080000}"/>
    <cellStyle name="Heading 2 47" xfId="2226" xr:uid="{00000000-0005-0000-0000-0000E5080000}"/>
    <cellStyle name="Heading 2 48" xfId="2227" xr:uid="{00000000-0005-0000-0000-0000E6080000}"/>
    <cellStyle name="Heading 2 49" xfId="2228" xr:uid="{00000000-0005-0000-0000-0000E7080000}"/>
    <cellStyle name="Heading 2 5" xfId="2229" xr:uid="{00000000-0005-0000-0000-0000E8080000}"/>
    <cellStyle name="Heading 2 50" xfId="2230" xr:uid="{00000000-0005-0000-0000-0000E9080000}"/>
    <cellStyle name="Heading 2 51" xfId="2231" xr:uid="{00000000-0005-0000-0000-0000EA080000}"/>
    <cellStyle name="Heading 2 52" xfId="2232" xr:uid="{00000000-0005-0000-0000-0000EB080000}"/>
    <cellStyle name="Heading 2 53" xfId="2233" xr:uid="{00000000-0005-0000-0000-0000EC080000}"/>
    <cellStyle name="Heading 2 54" xfId="2234" xr:uid="{00000000-0005-0000-0000-0000ED080000}"/>
    <cellStyle name="Heading 2 55" xfId="2235" xr:uid="{00000000-0005-0000-0000-0000EE080000}"/>
    <cellStyle name="Heading 2 56" xfId="2236" xr:uid="{00000000-0005-0000-0000-0000EF080000}"/>
    <cellStyle name="Heading 2 57" xfId="2237" xr:uid="{00000000-0005-0000-0000-0000F0080000}"/>
    <cellStyle name="Heading 2 58" xfId="2238" xr:uid="{00000000-0005-0000-0000-0000F1080000}"/>
    <cellStyle name="Heading 2 59" xfId="2239" xr:uid="{00000000-0005-0000-0000-0000F2080000}"/>
    <cellStyle name="Heading 2 6" xfId="2240" xr:uid="{00000000-0005-0000-0000-0000F3080000}"/>
    <cellStyle name="Heading 2 60" xfId="2241" xr:uid="{00000000-0005-0000-0000-0000F4080000}"/>
    <cellStyle name="Heading 2 61" xfId="2242" xr:uid="{00000000-0005-0000-0000-0000F5080000}"/>
    <cellStyle name="Heading 2 62" xfId="2243" xr:uid="{00000000-0005-0000-0000-0000F6080000}"/>
    <cellStyle name="Heading 2 63" xfId="2244" xr:uid="{00000000-0005-0000-0000-0000F7080000}"/>
    <cellStyle name="Heading 2 64" xfId="2245" xr:uid="{00000000-0005-0000-0000-0000F8080000}"/>
    <cellStyle name="Heading 2 65" xfId="2246" xr:uid="{00000000-0005-0000-0000-0000F9080000}"/>
    <cellStyle name="Heading 2 66" xfId="2247" xr:uid="{00000000-0005-0000-0000-0000FA080000}"/>
    <cellStyle name="Heading 2 67" xfId="2248" xr:uid="{00000000-0005-0000-0000-0000FB080000}"/>
    <cellStyle name="Heading 2 68" xfId="2249" xr:uid="{00000000-0005-0000-0000-0000FC080000}"/>
    <cellStyle name="Heading 2 69" xfId="2250" xr:uid="{00000000-0005-0000-0000-0000FD080000}"/>
    <cellStyle name="Heading 2 7" xfId="2251" xr:uid="{00000000-0005-0000-0000-0000FE080000}"/>
    <cellStyle name="Heading 2 70" xfId="2252" xr:uid="{00000000-0005-0000-0000-0000FF080000}"/>
    <cellStyle name="Heading 2 71" xfId="2253" xr:uid="{00000000-0005-0000-0000-000000090000}"/>
    <cellStyle name="Heading 2 72" xfId="2254" xr:uid="{00000000-0005-0000-0000-000001090000}"/>
    <cellStyle name="Heading 2 73" xfId="2255" xr:uid="{00000000-0005-0000-0000-000002090000}"/>
    <cellStyle name="Heading 2 74" xfId="2256" xr:uid="{00000000-0005-0000-0000-000003090000}"/>
    <cellStyle name="Heading 2 75" xfId="2257" xr:uid="{00000000-0005-0000-0000-000004090000}"/>
    <cellStyle name="Heading 2 76" xfId="2258" xr:uid="{00000000-0005-0000-0000-000005090000}"/>
    <cellStyle name="Heading 2 77" xfId="2259" xr:uid="{00000000-0005-0000-0000-000006090000}"/>
    <cellStyle name="Heading 2 78" xfId="2260" xr:uid="{00000000-0005-0000-0000-000007090000}"/>
    <cellStyle name="Heading 2 79" xfId="2261" xr:uid="{00000000-0005-0000-0000-000008090000}"/>
    <cellStyle name="Heading 2 8" xfId="2262" xr:uid="{00000000-0005-0000-0000-000009090000}"/>
    <cellStyle name="Heading 2 9" xfId="2263" xr:uid="{00000000-0005-0000-0000-00000A090000}"/>
    <cellStyle name="Heading 3 10" xfId="2264" xr:uid="{00000000-0005-0000-0000-00000B090000}"/>
    <cellStyle name="Heading 3 11" xfId="2265" xr:uid="{00000000-0005-0000-0000-00000C090000}"/>
    <cellStyle name="Heading 3 12" xfId="2266" xr:uid="{00000000-0005-0000-0000-00000D090000}"/>
    <cellStyle name="Heading 3 13" xfId="2267" xr:uid="{00000000-0005-0000-0000-00000E090000}"/>
    <cellStyle name="Heading 3 14" xfId="2268" xr:uid="{00000000-0005-0000-0000-00000F090000}"/>
    <cellStyle name="Heading 3 15" xfId="2269" xr:uid="{00000000-0005-0000-0000-000010090000}"/>
    <cellStyle name="Heading 3 16" xfId="2270" xr:uid="{00000000-0005-0000-0000-000011090000}"/>
    <cellStyle name="Heading 3 17" xfId="2271" xr:uid="{00000000-0005-0000-0000-000012090000}"/>
    <cellStyle name="Heading 3 18" xfId="2272" xr:uid="{00000000-0005-0000-0000-000013090000}"/>
    <cellStyle name="Heading 3 19" xfId="2273" xr:uid="{00000000-0005-0000-0000-000014090000}"/>
    <cellStyle name="Heading 3 2" xfId="2274" xr:uid="{00000000-0005-0000-0000-000015090000}"/>
    <cellStyle name="Heading 3 20" xfId="2275" xr:uid="{00000000-0005-0000-0000-000016090000}"/>
    <cellStyle name="Heading 3 21" xfId="2276" xr:uid="{00000000-0005-0000-0000-000017090000}"/>
    <cellStyle name="Heading 3 22" xfId="2277" xr:uid="{00000000-0005-0000-0000-000018090000}"/>
    <cellStyle name="Heading 3 23" xfId="2278" xr:uid="{00000000-0005-0000-0000-000019090000}"/>
    <cellStyle name="Heading 3 24" xfId="2279" xr:uid="{00000000-0005-0000-0000-00001A090000}"/>
    <cellStyle name="Heading 3 25" xfId="2280" xr:uid="{00000000-0005-0000-0000-00001B090000}"/>
    <cellStyle name="Heading 3 26" xfId="2281" xr:uid="{00000000-0005-0000-0000-00001C090000}"/>
    <cellStyle name="Heading 3 27" xfId="2282" xr:uid="{00000000-0005-0000-0000-00001D090000}"/>
    <cellStyle name="Heading 3 28" xfId="2283" xr:uid="{00000000-0005-0000-0000-00001E090000}"/>
    <cellStyle name="Heading 3 29" xfId="2284" xr:uid="{00000000-0005-0000-0000-00001F090000}"/>
    <cellStyle name="Heading 3 3" xfId="2285" xr:uid="{00000000-0005-0000-0000-000020090000}"/>
    <cellStyle name="Heading 3 30" xfId="2286" xr:uid="{00000000-0005-0000-0000-000021090000}"/>
    <cellStyle name="Heading 3 31" xfId="2287" xr:uid="{00000000-0005-0000-0000-000022090000}"/>
    <cellStyle name="Heading 3 32" xfId="2288" xr:uid="{00000000-0005-0000-0000-000023090000}"/>
    <cellStyle name="Heading 3 33" xfId="2289" xr:uid="{00000000-0005-0000-0000-000024090000}"/>
    <cellStyle name="Heading 3 34" xfId="2290" xr:uid="{00000000-0005-0000-0000-000025090000}"/>
    <cellStyle name="Heading 3 35" xfId="2291" xr:uid="{00000000-0005-0000-0000-000026090000}"/>
    <cellStyle name="Heading 3 36" xfId="2292" xr:uid="{00000000-0005-0000-0000-000027090000}"/>
    <cellStyle name="Heading 3 37" xfId="2293" xr:uid="{00000000-0005-0000-0000-000028090000}"/>
    <cellStyle name="Heading 3 38" xfId="2294" xr:uid="{00000000-0005-0000-0000-000029090000}"/>
    <cellStyle name="Heading 3 39" xfId="2295" xr:uid="{00000000-0005-0000-0000-00002A090000}"/>
    <cellStyle name="Heading 3 4" xfId="2296" xr:uid="{00000000-0005-0000-0000-00002B090000}"/>
    <cellStyle name="Heading 3 40" xfId="2297" xr:uid="{00000000-0005-0000-0000-00002C090000}"/>
    <cellStyle name="Heading 3 41" xfId="2298" xr:uid="{00000000-0005-0000-0000-00002D090000}"/>
    <cellStyle name="Heading 3 42" xfId="2299" xr:uid="{00000000-0005-0000-0000-00002E090000}"/>
    <cellStyle name="Heading 3 43" xfId="2300" xr:uid="{00000000-0005-0000-0000-00002F090000}"/>
    <cellStyle name="Heading 3 44" xfId="2301" xr:uid="{00000000-0005-0000-0000-000030090000}"/>
    <cellStyle name="Heading 3 45" xfId="2302" xr:uid="{00000000-0005-0000-0000-000031090000}"/>
    <cellStyle name="Heading 3 46" xfId="2303" xr:uid="{00000000-0005-0000-0000-000032090000}"/>
    <cellStyle name="Heading 3 47" xfId="2304" xr:uid="{00000000-0005-0000-0000-000033090000}"/>
    <cellStyle name="Heading 3 48" xfId="2305" xr:uid="{00000000-0005-0000-0000-000034090000}"/>
    <cellStyle name="Heading 3 49" xfId="2306" xr:uid="{00000000-0005-0000-0000-000035090000}"/>
    <cellStyle name="Heading 3 5" xfId="2307" xr:uid="{00000000-0005-0000-0000-000036090000}"/>
    <cellStyle name="Heading 3 50" xfId="2308" xr:uid="{00000000-0005-0000-0000-000037090000}"/>
    <cellStyle name="Heading 3 51" xfId="2309" xr:uid="{00000000-0005-0000-0000-000038090000}"/>
    <cellStyle name="Heading 3 52" xfId="2310" xr:uid="{00000000-0005-0000-0000-000039090000}"/>
    <cellStyle name="Heading 3 53" xfId="2311" xr:uid="{00000000-0005-0000-0000-00003A090000}"/>
    <cellStyle name="Heading 3 54" xfId="2312" xr:uid="{00000000-0005-0000-0000-00003B090000}"/>
    <cellStyle name="Heading 3 55" xfId="2313" xr:uid="{00000000-0005-0000-0000-00003C090000}"/>
    <cellStyle name="Heading 3 56" xfId="2314" xr:uid="{00000000-0005-0000-0000-00003D090000}"/>
    <cellStyle name="Heading 3 57" xfId="2315" xr:uid="{00000000-0005-0000-0000-00003E090000}"/>
    <cellStyle name="Heading 3 58" xfId="2316" xr:uid="{00000000-0005-0000-0000-00003F090000}"/>
    <cellStyle name="Heading 3 59" xfId="2317" xr:uid="{00000000-0005-0000-0000-000040090000}"/>
    <cellStyle name="Heading 3 6" xfId="2318" xr:uid="{00000000-0005-0000-0000-000041090000}"/>
    <cellStyle name="Heading 3 60" xfId="2319" xr:uid="{00000000-0005-0000-0000-000042090000}"/>
    <cellStyle name="Heading 3 61" xfId="2320" xr:uid="{00000000-0005-0000-0000-000043090000}"/>
    <cellStyle name="Heading 3 62" xfId="2321" xr:uid="{00000000-0005-0000-0000-000044090000}"/>
    <cellStyle name="Heading 3 63" xfId="2322" xr:uid="{00000000-0005-0000-0000-000045090000}"/>
    <cellStyle name="Heading 3 64" xfId="2323" xr:uid="{00000000-0005-0000-0000-000046090000}"/>
    <cellStyle name="Heading 3 65" xfId="2324" xr:uid="{00000000-0005-0000-0000-000047090000}"/>
    <cellStyle name="Heading 3 66" xfId="2325" xr:uid="{00000000-0005-0000-0000-000048090000}"/>
    <cellStyle name="Heading 3 67" xfId="2326" xr:uid="{00000000-0005-0000-0000-000049090000}"/>
    <cellStyle name="Heading 3 68" xfId="2327" xr:uid="{00000000-0005-0000-0000-00004A090000}"/>
    <cellStyle name="Heading 3 69" xfId="2328" xr:uid="{00000000-0005-0000-0000-00004B090000}"/>
    <cellStyle name="Heading 3 7" xfId="2329" xr:uid="{00000000-0005-0000-0000-00004C090000}"/>
    <cellStyle name="Heading 3 70" xfId="2330" xr:uid="{00000000-0005-0000-0000-00004D090000}"/>
    <cellStyle name="Heading 3 71" xfId="2331" xr:uid="{00000000-0005-0000-0000-00004E090000}"/>
    <cellStyle name="Heading 3 72" xfId="2332" xr:uid="{00000000-0005-0000-0000-00004F090000}"/>
    <cellStyle name="Heading 3 73" xfId="2333" xr:uid="{00000000-0005-0000-0000-000050090000}"/>
    <cellStyle name="Heading 3 74" xfId="2334" xr:uid="{00000000-0005-0000-0000-000051090000}"/>
    <cellStyle name="Heading 3 75" xfId="2335" xr:uid="{00000000-0005-0000-0000-000052090000}"/>
    <cellStyle name="Heading 3 76" xfId="2336" xr:uid="{00000000-0005-0000-0000-000053090000}"/>
    <cellStyle name="Heading 3 77" xfId="2337" xr:uid="{00000000-0005-0000-0000-000054090000}"/>
    <cellStyle name="Heading 3 78" xfId="2338" xr:uid="{00000000-0005-0000-0000-000055090000}"/>
    <cellStyle name="Heading 3 79" xfId="2339" xr:uid="{00000000-0005-0000-0000-000056090000}"/>
    <cellStyle name="Heading 3 8" xfId="2340" xr:uid="{00000000-0005-0000-0000-000057090000}"/>
    <cellStyle name="Heading 3 9" xfId="2341" xr:uid="{00000000-0005-0000-0000-000058090000}"/>
    <cellStyle name="Heading 4 10" xfId="2342" xr:uid="{00000000-0005-0000-0000-000059090000}"/>
    <cellStyle name="Heading 4 11" xfId="2343" xr:uid="{00000000-0005-0000-0000-00005A090000}"/>
    <cellStyle name="Heading 4 12" xfId="2344" xr:uid="{00000000-0005-0000-0000-00005B090000}"/>
    <cellStyle name="Heading 4 13" xfId="2345" xr:uid="{00000000-0005-0000-0000-00005C090000}"/>
    <cellStyle name="Heading 4 14" xfId="2346" xr:uid="{00000000-0005-0000-0000-00005D090000}"/>
    <cellStyle name="Heading 4 15" xfId="2347" xr:uid="{00000000-0005-0000-0000-00005E090000}"/>
    <cellStyle name="Heading 4 16" xfId="2348" xr:uid="{00000000-0005-0000-0000-00005F090000}"/>
    <cellStyle name="Heading 4 17" xfId="2349" xr:uid="{00000000-0005-0000-0000-000060090000}"/>
    <cellStyle name="Heading 4 18" xfId="2350" xr:uid="{00000000-0005-0000-0000-000061090000}"/>
    <cellStyle name="Heading 4 19" xfId="2351" xr:uid="{00000000-0005-0000-0000-000062090000}"/>
    <cellStyle name="Heading 4 2" xfId="2352" xr:uid="{00000000-0005-0000-0000-000063090000}"/>
    <cellStyle name="Heading 4 20" xfId="2353" xr:uid="{00000000-0005-0000-0000-000064090000}"/>
    <cellStyle name="Heading 4 21" xfId="2354" xr:uid="{00000000-0005-0000-0000-000065090000}"/>
    <cellStyle name="Heading 4 22" xfId="2355" xr:uid="{00000000-0005-0000-0000-000066090000}"/>
    <cellStyle name="Heading 4 23" xfId="2356" xr:uid="{00000000-0005-0000-0000-000067090000}"/>
    <cellStyle name="Heading 4 24" xfId="2357" xr:uid="{00000000-0005-0000-0000-000068090000}"/>
    <cellStyle name="Heading 4 25" xfId="2358" xr:uid="{00000000-0005-0000-0000-000069090000}"/>
    <cellStyle name="Heading 4 26" xfId="2359" xr:uid="{00000000-0005-0000-0000-00006A090000}"/>
    <cellStyle name="Heading 4 27" xfId="2360" xr:uid="{00000000-0005-0000-0000-00006B090000}"/>
    <cellStyle name="Heading 4 28" xfId="2361" xr:uid="{00000000-0005-0000-0000-00006C090000}"/>
    <cellStyle name="Heading 4 29" xfId="2362" xr:uid="{00000000-0005-0000-0000-00006D090000}"/>
    <cellStyle name="Heading 4 3" xfId="2363" xr:uid="{00000000-0005-0000-0000-00006E090000}"/>
    <cellStyle name="Heading 4 30" xfId="2364" xr:uid="{00000000-0005-0000-0000-00006F090000}"/>
    <cellStyle name="Heading 4 31" xfId="2365" xr:uid="{00000000-0005-0000-0000-000070090000}"/>
    <cellStyle name="Heading 4 32" xfId="2366" xr:uid="{00000000-0005-0000-0000-000071090000}"/>
    <cellStyle name="Heading 4 33" xfId="2367" xr:uid="{00000000-0005-0000-0000-000072090000}"/>
    <cellStyle name="Heading 4 34" xfId="2368" xr:uid="{00000000-0005-0000-0000-000073090000}"/>
    <cellStyle name="Heading 4 35" xfId="2369" xr:uid="{00000000-0005-0000-0000-000074090000}"/>
    <cellStyle name="Heading 4 36" xfId="2370" xr:uid="{00000000-0005-0000-0000-000075090000}"/>
    <cellStyle name="Heading 4 37" xfId="2371" xr:uid="{00000000-0005-0000-0000-000076090000}"/>
    <cellStyle name="Heading 4 38" xfId="2372" xr:uid="{00000000-0005-0000-0000-000077090000}"/>
    <cellStyle name="Heading 4 39" xfId="2373" xr:uid="{00000000-0005-0000-0000-000078090000}"/>
    <cellStyle name="Heading 4 4" xfId="2374" xr:uid="{00000000-0005-0000-0000-000079090000}"/>
    <cellStyle name="Heading 4 40" xfId="2375" xr:uid="{00000000-0005-0000-0000-00007A090000}"/>
    <cellStyle name="Heading 4 41" xfId="2376" xr:uid="{00000000-0005-0000-0000-00007B090000}"/>
    <cellStyle name="Heading 4 42" xfId="2377" xr:uid="{00000000-0005-0000-0000-00007C090000}"/>
    <cellStyle name="Heading 4 43" xfId="2378" xr:uid="{00000000-0005-0000-0000-00007D090000}"/>
    <cellStyle name="Heading 4 44" xfId="2379" xr:uid="{00000000-0005-0000-0000-00007E090000}"/>
    <cellStyle name="Heading 4 45" xfId="2380" xr:uid="{00000000-0005-0000-0000-00007F090000}"/>
    <cellStyle name="Heading 4 46" xfId="2381" xr:uid="{00000000-0005-0000-0000-000080090000}"/>
    <cellStyle name="Heading 4 47" xfId="2382" xr:uid="{00000000-0005-0000-0000-000081090000}"/>
    <cellStyle name="Heading 4 48" xfId="2383" xr:uid="{00000000-0005-0000-0000-000082090000}"/>
    <cellStyle name="Heading 4 49" xfId="2384" xr:uid="{00000000-0005-0000-0000-000083090000}"/>
    <cellStyle name="Heading 4 5" xfId="2385" xr:uid="{00000000-0005-0000-0000-000084090000}"/>
    <cellStyle name="Heading 4 50" xfId="2386" xr:uid="{00000000-0005-0000-0000-000085090000}"/>
    <cellStyle name="Heading 4 51" xfId="2387" xr:uid="{00000000-0005-0000-0000-000086090000}"/>
    <cellStyle name="Heading 4 52" xfId="2388" xr:uid="{00000000-0005-0000-0000-000087090000}"/>
    <cellStyle name="Heading 4 53" xfId="2389" xr:uid="{00000000-0005-0000-0000-000088090000}"/>
    <cellStyle name="Heading 4 54" xfId="2390" xr:uid="{00000000-0005-0000-0000-000089090000}"/>
    <cellStyle name="Heading 4 55" xfId="2391" xr:uid="{00000000-0005-0000-0000-00008A090000}"/>
    <cellStyle name="Heading 4 56" xfId="2392" xr:uid="{00000000-0005-0000-0000-00008B090000}"/>
    <cellStyle name="Heading 4 57" xfId="2393" xr:uid="{00000000-0005-0000-0000-00008C090000}"/>
    <cellStyle name="Heading 4 58" xfId="2394" xr:uid="{00000000-0005-0000-0000-00008D090000}"/>
    <cellStyle name="Heading 4 59" xfId="2395" xr:uid="{00000000-0005-0000-0000-00008E090000}"/>
    <cellStyle name="Heading 4 6" xfId="2396" xr:uid="{00000000-0005-0000-0000-00008F090000}"/>
    <cellStyle name="Heading 4 60" xfId="2397" xr:uid="{00000000-0005-0000-0000-000090090000}"/>
    <cellStyle name="Heading 4 61" xfId="2398" xr:uid="{00000000-0005-0000-0000-000091090000}"/>
    <cellStyle name="Heading 4 62" xfId="2399" xr:uid="{00000000-0005-0000-0000-000092090000}"/>
    <cellStyle name="Heading 4 63" xfId="2400" xr:uid="{00000000-0005-0000-0000-000093090000}"/>
    <cellStyle name="Heading 4 64" xfId="2401" xr:uid="{00000000-0005-0000-0000-000094090000}"/>
    <cellStyle name="Heading 4 65" xfId="2402" xr:uid="{00000000-0005-0000-0000-000095090000}"/>
    <cellStyle name="Heading 4 66" xfId="2403" xr:uid="{00000000-0005-0000-0000-000096090000}"/>
    <cellStyle name="Heading 4 67" xfId="2404" xr:uid="{00000000-0005-0000-0000-000097090000}"/>
    <cellStyle name="Heading 4 68" xfId="2405" xr:uid="{00000000-0005-0000-0000-000098090000}"/>
    <cellStyle name="Heading 4 69" xfId="2406" xr:uid="{00000000-0005-0000-0000-000099090000}"/>
    <cellStyle name="Heading 4 7" xfId="2407" xr:uid="{00000000-0005-0000-0000-00009A090000}"/>
    <cellStyle name="Heading 4 70" xfId="2408" xr:uid="{00000000-0005-0000-0000-00009B090000}"/>
    <cellStyle name="Heading 4 71" xfId="2409" xr:uid="{00000000-0005-0000-0000-00009C090000}"/>
    <cellStyle name="Heading 4 72" xfId="2410" xr:uid="{00000000-0005-0000-0000-00009D090000}"/>
    <cellStyle name="Heading 4 73" xfId="2411" xr:uid="{00000000-0005-0000-0000-00009E090000}"/>
    <cellStyle name="Heading 4 74" xfId="2412" xr:uid="{00000000-0005-0000-0000-00009F090000}"/>
    <cellStyle name="Heading 4 75" xfId="2413" xr:uid="{00000000-0005-0000-0000-0000A0090000}"/>
    <cellStyle name="Heading 4 76" xfId="2414" xr:uid="{00000000-0005-0000-0000-0000A1090000}"/>
    <cellStyle name="Heading 4 77" xfId="2415" xr:uid="{00000000-0005-0000-0000-0000A2090000}"/>
    <cellStyle name="Heading 4 78" xfId="2416" xr:uid="{00000000-0005-0000-0000-0000A3090000}"/>
    <cellStyle name="Heading 4 79" xfId="2417" xr:uid="{00000000-0005-0000-0000-0000A4090000}"/>
    <cellStyle name="Heading 4 8" xfId="2418" xr:uid="{00000000-0005-0000-0000-0000A5090000}"/>
    <cellStyle name="Heading 4 9" xfId="2419" xr:uid="{00000000-0005-0000-0000-0000A6090000}"/>
    <cellStyle name="heading info" xfId="2420" xr:uid="{00000000-0005-0000-0000-0000A7090000}"/>
    <cellStyle name="Heading No Underline" xfId="2421" xr:uid="{00000000-0005-0000-0000-0000A8090000}"/>
    <cellStyle name="Heading With Underline" xfId="2422" xr:uid="{00000000-0005-0000-0000-0000A9090000}"/>
    <cellStyle name="Heading/Bold/Center" xfId="2423" xr:uid="{00000000-0005-0000-0000-0000AA090000}"/>
    <cellStyle name="Heading1" xfId="2424" xr:uid="{00000000-0005-0000-0000-0000AB090000}"/>
    <cellStyle name="Heading2" xfId="2425" xr:uid="{00000000-0005-0000-0000-0000AC090000}"/>
    <cellStyle name="HeadingColumn" xfId="2426" xr:uid="{00000000-0005-0000-0000-0000AD090000}"/>
    <cellStyle name="HEADINGS" xfId="2427" xr:uid="{00000000-0005-0000-0000-0000AE090000}"/>
    <cellStyle name="HEADINGSTOP" xfId="2428" xr:uid="{00000000-0005-0000-0000-0000AF090000}"/>
    <cellStyle name="HeadingYear" xfId="2429" xr:uid="{00000000-0005-0000-0000-0000B0090000}"/>
    <cellStyle name="Helv" xfId="2430" xr:uid="{00000000-0005-0000-0000-0000B1090000}"/>
    <cellStyle name="Helv 2" xfId="28242" xr:uid="{00000000-0005-0000-0000-0000B2090000}"/>
    <cellStyle name="hidden" xfId="2431" xr:uid="{00000000-0005-0000-0000-0000B3090000}"/>
    <cellStyle name="Hide - Style4" xfId="2432" xr:uid="{00000000-0005-0000-0000-0000B4090000}"/>
    <cellStyle name="hidebold" xfId="2433" xr:uid="{00000000-0005-0000-0000-0000B5090000}"/>
    <cellStyle name="hidenorm" xfId="2434" xr:uid="{00000000-0005-0000-0000-0000B6090000}"/>
    <cellStyle name="HIGHLIGHT" xfId="2435" xr:uid="{00000000-0005-0000-0000-0000B7090000}"/>
    <cellStyle name="in" xfId="2436" xr:uid="{00000000-0005-0000-0000-0000B9090000}"/>
    <cellStyle name="in 2" xfId="2437" xr:uid="{00000000-0005-0000-0000-0000BA090000}"/>
    <cellStyle name="IncomeStatement" xfId="2438" xr:uid="{00000000-0005-0000-0000-0000BB090000}"/>
    <cellStyle name="indata" xfId="2439" xr:uid="{00000000-0005-0000-0000-0000BC090000}"/>
    <cellStyle name="InLink" xfId="2440" xr:uid="{00000000-0005-0000-0000-0000BD090000}"/>
    <cellStyle name="inn" xfId="2441" xr:uid="{00000000-0005-0000-0000-0000BE090000}"/>
    <cellStyle name="Input [yellow]" xfId="2442" xr:uid="{00000000-0005-0000-0000-0000BF090000}"/>
    <cellStyle name="Input 10" xfId="2443" xr:uid="{00000000-0005-0000-0000-0000C0090000}"/>
    <cellStyle name="Input 10 2" xfId="2444" xr:uid="{00000000-0005-0000-0000-0000C1090000}"/>
    <cellStyle name="Input 10 3" xfId="2445" xr:uid="{00000000-0005-0000-0000-0000C2090000}"/>
    <cellStyle name="Input 11" xfId="2446" xr:uid="{00000000-0005-0000-0000-0000C3090000}"/>
    <cellStyle name="Input 11 2" xfId="2447" xr:uid="{00000000-0005-0000-0000-0000C4090000}"/>
    <cellStyle name="Input 11 3" xfId="2448" xr:uid="{00000000-0005-0000-0000-0000C5090000}"/>
    <cellStyle name="Input 12" xfId="2449" xr:uid="{00000000-0005-0000-0000-0000C6090000}"/>
    <cellStyle name="Input 12 2" xfId="2450" xr:uid="{00000000-0005-0000-0000-0000C7090000}"/>
    <cellStyle name="Input 12 3" xfId="2451" xr:uid="{00000000-0005-0000-0000-0000C8090000}"/>
    <cellStyle name="Input 13" xfId="2452" xr:uid="{00000000-0005-0000-0000-0000C9090000}"/>
    <cellStyle name="Input 13 2" xfId="2453" xr:uid="{00000000-0005-0000-0000-0000CA090000}"/>
    <cellStyle name="Input 13 3" xfId="2454" xr:uid="{00000000-0005-0000-0000-0000CB090000}"/>
    <cellStyle name="Input 14" xfId="2455" xr:uid="{00000000-0005-0000-0000-0000CC090000}"/>
    <cellStyle name="Input 14 2" xfId="2456" xr:uid="{00000000-0005-0000-0000-0000CD090000}"/>
    <cellStyle name="Input 14 3" xfId="2457" xr:uid="{00000000-0005-0000-0000-0000CE090000}"/>
    <cellStyle name="Input 15" xfId="2458" xr:uid="{00000000-0005-0000-0000-0000CF090000}"/>
    <cellStyle name="Input 15 2" xfId="2459" xr:uid="{00000000-0005-0000-0000-0000D0090000}"/>
    <cellStyle name="Input 15 3" xfId="2460" xr:uid="{00000000-0005-0000-0000-0000D1090000}"/>
    <cellStyle name="Input 16" xfId="2461" xr:uid="{00000000-0005-0000-0000-0000D2090000}"/>
    <cellStyle name="Input 16 2" xfId="2462" xr:uid="{00000000-0005-0000-0000-0000D3090000}"/>
    <cellStyle name="Input 16 3" xfId="2463" xr:uid="{00000000-0005-0000-0000-0000D4090000}"/>
    <cellStyle name="Input 17" xfId="2464" xr:uid="{00000000-0005-0000-0000-0000D5090000}"/>
    <cellStyle name="Input 17 2" xfId="2465" xr:uid="{00000000-0005-0000-0000-0000D6090000}"/>
    <cellStyle name="Input 17 3" xfId="2466" xr:uid="{00000000-0005-0000-0000-0000D7090000}"/>
    <cellStyle name="Input 18" xfId="2467" xr:uid="{00000000-0005-0000-0000-0000D8090000}"/>
    <cellStyle name="Input 18 2" xfId="2468" xr:uid="{00000000-0005-0000-0000-0000D9090000}"/>
    <cellStyle name="Input 18 3" xfId="2469" xr:uid="{00000000-0005-0000-0000-0000DA090000}"/>
    <cellStyle name="Input 19" xfId="2470" xr:uid="{00000000-0005-0000-0000-0000DB090000}"/>
    <cellStyle name="Input 19 2" xfId="2471" xr:uid="{00000000-0005-0000-0000-0000DC090000}"/>
    <cellStyle name="Input 19 3" xfId="2472" xr:uid="{00000000-0005-0000-0000-0000DD090000}"/>
    <cellStyle name="Input 2" xfId="2473" xr:uid="{00000000-0005-0000-0000-0000DE090000}"/>
    <cellStyle name="Input 2 2" xfId="2474" xr:uid="{00000000-0005-0000-0000-0000DF090000}"/>
    <cellStyle name="Input 2 3" xfId="2475" xr:uid="{00000000-0005-0000-0000-0000E0090000}"/>
    <cellStyle name="Input 20" xfId="2476" xr:uid="{00000000-0005-0000-0000-0000E1090000}"/>
    <cellStyle name="Input 20 2" xfId="2477" xr:uid="{00000000-0005-0000-0000-0000E2090000}"/>
    <cellStyle name="Input 20 3" xfId="2478" xr:uid="{00000000-0005-0000-0000-0000E3090000}"/>
    <cellStyle name="Input 21" xfId="2479" xr:uid="{00000000-0005-0000-0000-0000E4090000}"/>
    <cellStyle name="Input 21 2" xfId="2480" xr:uid="{00000000-0005-0000-0000-0000E5090000}"/>
    <cellStyle name="Input 21 3" xfId="2481" xr:uid="{00000000-0005-0000-0000-0000E6090000}"/>
    <cellStyle name="Input 22" xfId="2482" xr:uid="{00000000-0005-0000-0000-0000E7090000}"/>
    <cellStyle name="Input 22 2" xfId="2483" xr:uid="{00000000-0005-0000-0000-0000E8090000}"/>
    <cellStyle name="Input 22 3" xfId="2484" xr:uid="{00000000-0005-0000-0000-0000E9090000}"/>
    <cellStyle name="Input 23" xfId="2485" xr:uid="{00000000-0005-0000-0000-0000EA090000}"/>
    <cellStyle name="Input 23 2" xfId="2486" xr:uid="{00000000-0005-0000-0000-0000EB090000}"/>
    <cellStyle name="Input 23 3" xfId="2487" xr:uid="{00000000-0005-0000-0000-0000EC090000}"/>
    <cellStyle name="Input 24" xfId="2488" xr:uid="{00000000-0005-0000-0000-0000ED090000}"/>
    <cellStyle name="Input 24 2" xfId="2489" xr:uid="{00000000-0005-0000-0000-0000EE090000}"/>
    <cellStyle name="Input 24 3" xfId="2490" xr:uid="{00000000-0005-0000-0000-0000EF090000}"/>
    <cellStyle name="Input 25" xfId="2491" xr:uid="{00000000-0005-0000-0000-0000F0090000}"/>
    <cellStyle name="Input 25 2" xfId="2492" xr:uid="{00000000-0005-0000-0000-0000F1090000}"/>
    <cellStyle name="Input 25 3" xfId="2493" xr:uid="{00000000-0005-0000-0000-0000F2090000}"/>
    <cellStyle name="Input 26" xfId="2494" xr:uid="{00000000-0005-0000-0000-0000F3090000}"/>
    <cellStyle name="Input 26 2" xfId="2495" xr:uid="{00000000-0005-0000-0000-0000F4090000}"/>
    <cellStyle name="Input 26 3" xfId="2496" xr:uid="{00000000-0005-0000-0000-0000F5090000}"/>
    <cellStyle name="Input 27" xfId="2497" xr:uid="{00000000-0005-0000-0000-0000F6090000}"/>
    <cellStyle name="Input 27 2" xfId="2498" xr:uid="{00000000-0005-0000-0000-0000F7090000}"/>
    <cellStyle name="Input 27 3" xfId="2499" xr:uid="{00000000-0005-0000-0000-0000F8090000}"/>
    <cellStyle name="Input 28" xfId="2500" xr:uid="{00000000-0005-0000-0000-0000F9090000}"/>
    <cellStyle name="Input 28 2" xfId="2501" xr:uid="{00000000-0005-0000-0000-0000FA090000}"/>
    <cellStyle name="Input 28 3" xfId="2502" xr:uid="{00000000-0005-0000-0000-0000FB090000}"/>
    <cellStyle name="Input 29" xfId="2503" xr:uid="{00000000-0005-0000-0000-0000FC090000}"/>
    <cellStyle name="Input 29 2" xfId="2504" xr:uid="{00000000-0005-0000-0000-0000FD090000}"/>
    <cellStyle name="Input 29 3" xfId="2505" xr:uid="{00000000-0005-0000-0000-0000FE090000}"/>
    <cellStyle name="Input 3" xfId="2506" xr:uid="{00000000-0005-0000-0000-0000FF090000}"/>
    <cellStyle name="Input 3 2" xfId="2507" xr:uid="{00000000-0005-0000-0000-0000000A0000}"/>
    <cellStyle name="Input 3 3" xfId="2508" xr:uid="{00000000-0005-0000-0000-0000010A0000}"/>
    <cellStyle name="Input 30" xfId="2509" xr:uid="{00000000-0005-0000-0000-0000020A0000}"/>
    <cellStyle name="Input 30 2" xfId="2510" xr:uid="{00000000-0005-0000-0000-0000030A0000}"/>
    <cellStyle name="Input 30 3" xfId="2511" xr:uid="{00000000-0005-0000-0000-0000040A0000}"/>
    <cellStyle name="Input 31" xfId="2512" xr:uid="{00000000-0005-0000-0000-0000050A0000}"/>
    <cellStyle name="Input 31 2" xfId="2513" xr:uid="{00000000-0005-0000-0000-0000060A0000}"/>
    <cellStyle name="Input 31 3" xfId="2514" xr:uid="{00000000-0005-0000-0000-0000070A0000}"/>
    <cellStyle name="Input 32" xfId="2515" xr:uid="{00000000-0005-0000-0000-0000080A0000}"/>
    <cellStyle name="Input 32 2" xfId="2516" xr:uid="{00000000-0005-0000-0000-0000090A0000}"/>
    <cellStyle name="Input 32 3" xfId="2517" xr:uid="{00000000-0005-0000-0000-00000A0A0000}"/>
    <cellStyle name="Input 33" xfId="2518" xr:uid="{00000000-0005-0000-0000-00000B0A0000}"/>
    <cellStyle name="Input 33 2" xfId="2519" xr:uid="{00000000-0005-0000-0000-00000C0A0000}"/>
    <cellStyle name="Input 33 3" xfId="2520" xr:uid="{00000000-0005-0000-0000-00000D0A0000}"/>
    <cellStyle name="Input 34" xfId="2521" xr:uid="{00000000-0005-0000-0000-00000E0A0000}"/>
    <cellStyle name="Input 34 2" xfId="2522" xr:uid="{00000000-0005-0000-0000-00000F0A0000}"/>
    <cellStyle name="Input 34 3" xfId="2523" xr:uid="{00000000-0005-0000-0000-0000100A0000}"/>
    <cellStyle name="Input 35" xfId="2524" xr:uid="{00000000-0005-0000-0000-0000110A0000}"/>
    <cellStyle name="Input 35 2" xfId="2525" xr:uid="{00000000-0005-0000-0000-0000120A0000}"/>
    <cellStyle name="Input 35 3" xfId="2526" xr:uid="{00000000-0005-0000-0000-0000130A0000}"/>
    <cellStyle name="Input 36" xfId="2527" xr:uid="{00000000-0005-0000-0000-0000140A0000}"/>
    <cellStyle name="Input 36 2" xfId="2528" xr:uid="{00000000-0005-0000-0000-0000150A0000}"/>
    <cellStyle name="Input 36 3" xfId="2529" xr:uid="{00000000-0005-0000-0000-0000160A0000}"/>
    <cellStyle name="Input 37" xfId="2530" xr:uid="{00000000-0005-0000-0000-0000170A0000}"/>
    <cellStyle name="Input 37 2" xfId="2531" xr:uid="{00000000-0005-0000-0000-0000180A0000}"/>
    <cellStyle name="Input 37 3" xfId="2532" xr:uid="{00000000-0005-0000-0000-0000190A0000}"/>
    <cellStyle name="Input 38" xfId="2533" xr:uid="{00000000-0005-0000-0000-00001A0A0000}"/>
    <cellStyle name="Input 38 2" xfId="2534" xr:uid="{00000000-0005-0000-0000-00001B0A0000}"/>
    <cellStyle name="Input 38 3" xfId="2535" xr:uid="{00000000-0005-0000-0000-00001C0A0000}"/>
    <cellStyle name="Input 39" xfId="2536" xr:uid="{00000000-0005-0000-0000-00001D0A0000}"/>
    <cellStyle name="Input 39 2" xfId="2537" xr:uid="{00000000-0005-0000-0000-00001E0A0000}"/>
    <cellStyle name="Input 39 3" xfId="2538" xr:uid="{00000000-0005-0000-0000-00001F0A0000}"/>
    <cellStyle name="Input 4" xfId="2539" xr:uid="{00000000-0005-0000-0000-0000200A0000}"/>
    <cellStyle name="Input 4 2" xfId="2540" xr:uid="{00000000-0005-0000-0000-0000210A0000}"/>
    <cellStyle name="Input 4 3" xfId="2541" xr:uid="{00000000-0005-0000-0000-0000220A0000}"/>
    <cellStyle name="Input 40" xfId="2542" xr:uid="{00000000-0005-0000-0000-0000230A0000}"/>
    <cellStyle name="Input 40 2" xfId="2543" xr:uid="{00000000-0005-0000-0000-0000240A0000}"/>
    <cellStyle name="Input 40 3" xfId="2544" xr:uid="{00000000-0005-0000-0000-0000250A0000}"/>
    <cellStyle name="Input 41" xfId="2545" xr:uid="{00000000-0005-0000-0000-0000260A0000}"/>
    <cellStyle name="Input 41 2" xfId="2546" xr:uid="{00000000-0005-0000-0000-0000270A0000}"/>
    <cellStyle name="Input 41 3" xfId="2547" xr:uid="{00000000-0005-0000-0000-0000280A0000}"/>
    <cellStyle name="Input 42" xfId="2548" xr:uid="{00000000-0005-0000-0000-0000290A0000}"/>
    <cellStyle name="Input 42 2" xfId="2549" xr:uid="{00000000-0005-0000-0000-00002A0A0000}"/>
    <cellStyle name="Input 42 3" xfId="2550" xr:uid="{00000000-0005-0000-0000-00002B0A0000}"/>
    <cellStyle name="Input 43" xfId="2551" xr:uid="{00000000-0005-0000-0000-00002C0A0000}"/>
    <cellStyle name="Input 43 2" xfId="2552" xr:uid="{00000000-0005-0000-0000-00002D0A0000}"/>
    <cellStyle name="Input 43 3" xfId="2553" xr:uid="{00000000-0005-0000-0000-00002E0A0000}"/>
    <cellStyle name="Input 44" xfId="2554" xr:uid="{00000000-0005-0000-0000-00002F0A0000}"/>
    <cellStyle name="Input 44 2" xfId="2555" xr:uid="{00000000-0005-0000-0000-0000300A0000}"/>
    <cellStyle name="Input 44 3" xfId="2556" xr:uid="{00000000-0005-0000-0000-0000310A0000}"/>
    <cellStyle name="Input 45" xfId="2557" xr:uid="{00000000-0005-0000-0000-0000320A0000}"/>
    <cellStyle name="Input 45 2" xfId="2558" xr:uid="{00000000-0005-0000-0000-0000330A0000}"/>
    <cellStyle name="Input 45 3" xfId="2559" xr:uid="{00000000-0005-0000-0000-0000340A0000}"/>
    <cellStyle name="Input 46" xfId="2560" xr:uid="{00000000-0005-0000-0000-0000350A0000}"/>
    <cellStyle name="Input 46 2" xfId="2561" xr:uid="{00000000-0005-0000-0000-0000360A0000}"/>
    <cellStyle name="Input 46 3" xfId="2562" xr:uid="{00000000-0005-0000-0000-0000370A0000}"/>
    <cellStyle name="Input 47" xfId="2563" xr:uid="{00000000-0005-0000-0000-0000380A0000}"/>
    <cellStyle name="Input 47 2" xfId="2564" xr:uid="{00000000-0005-0000-0000-0000390A0000}"/>
    <cellStyle name="Input 47 3" xfId="2565" xr:uid="{00000000-0005-0000-0000-00003A0A0000}"/>
    <cellStyle name="Input 48" xfId="2566" xr:uid="{00000000-0005-0000-0000-00003B0A0000}"/>
    <cellStyle name="Input 48 2" xfId="2567" xr:uid="{00000000-0005-0000-0000-00003C0A0000}"/>
    <cellStyle name="Input 48 3" xfId="2568" xr:uid="{00000000-0005-0000-0000-00003D0A0000}"/>
    <cellStyle name="Input 49" xfId="2569" xr:uid="{00000000-0005-0000-0000-00003E0A0000}"/>
    <cellStyle name="Input 49 2" xfId="2570" xr:uid="{00000000-0005-0000-0000-00003F0A0000}"/>
    <cellStyle name="Input 49 3" xfId="2571" xr:uid="{00000000-0005-0000-0000-0000400A0000}"/>
    <cellStyle name="Input 5" xfId="2572" xr:uid="{00000000-0005-0000-0000-0000410A0000}"/>
    <cellStyle name="Input 5 2" xfId="2573" xr:uid="{00000000-0005-0000-0000-0000420A0000}"/>
    <cellStyle name="Input 5 3" xfId="2574" xr:uid="{00000000-0005-0000-0000-0000430A0000}"/>
    <cellStyle name="Input 50" xfId="2575" xr:uid="{00000000-0005-0000-0000-0000440A0000}"/>
    <cellStyle name="Input 50 2" xfId="2576" xr:uid="{00000000-0005-0000-0000-0000450A0000}"/>
    <cellStyle name="Input 50 3" xfId="2577" xr:uid="{00000000-0005-0000-0000-0000460A0000}"/>
    <cellStyle name="Input 51" xfId="2578" xr:uid="{00000000-0005-0000-0000-0000470A0000}"/>
    <cellStyle name="Input 51 2" xfId="2579" xr:uid="{00000000-0005-0000-0000-0000480A0000}"/>
    <cellStyle name="Input 51 3" xfId="2580" xr:uid="{00000000-0005-0000-0000-0000490A0000}"/>
    <cellStyle name="Input 52" xfId="2581" xr:uid="{00000000-0005-0000-0000-00004A0A0000}"/>
    <cellStyle name="Input 52 2" xfId="2582" xr:uid="{00000000-0005-0000-0000-00004B0A0000}"/>
    <cellStyle name="Input 52 3" xfId="2583" xr:uid="{00000000-0005-0000-0000-00004C0A0000}"/>
    <cellStyle name="Input 53" xfId="2584" xr:uid="{00000000-0005-0000-0000-00004D0A0000}"/>
    <cellStyle name="Input 53 2" xfId="2585" xr:uid="{00000000-0005-0000-0000-00004E0A0000}"/>
    <cellStyle name="Input 53 3" xfId="2586" xr:uid="{00000000-0005-0000-0000-00004F0A0000}"/>
    <cellStyle name="Input 54" xfId="2587" xr:uid="{00000000-0005-0000-0000-0000500A0000}"/>
    <cellStyle name="Input 54 2" xfId="2588" xr:uid="{00000000-0005-0000-0000-0000510A0000}"/>
    <cellStyle name="Input 54 3" xfId="2589" xr:uid="{00000000-0005-0000-0000-0000520A0000}"/>
    <cellStyle name="Input 55" xfId="2590" xr:uid="{00000000-0005-0000-0000-0000530A0000}"/>
    <cellStyle name="Input 55 2" xfId="2591" xr:uid="{00000000-0005-0000-0000-0000540A0000}"/>
    <cellStyle name="Input 55 3" xfId="2592" xr:uid="{00000000-0005-0000-0000-0000550A0000}"/>
    <cellStyle name="Input 56" xfId="2593" xr:uid="{00000000-0005-0000-0000-0000560A0000}"/>
    <cellStyle name="Input 56 2" xfId="2594" xr:uid="{00000000-0005-0000-0000-0000570A0000}"/>
    <cellStyle name="Input 56 3" xfId="2595" xr:uid="{00000000-0005-0000-0000-0000580A0000}"/>
    <cellStyle name="Input 57" xfId="2596" xr:uid="{00000000-0005-0000-0000-0000590A0000}"/>
    <cellStyle name="Input 57 2" xfId="2597" xr:uid="{00000000-0005-0000-0000-00005A0A0000}"/>
    <cellStyle name="Input 57 3" xfId="2598" xr:uid="{00000000-0005-0000-0000-00005B0A0000}"/>
    <cellStyle name="Input 58" xfId="2599" xr:uid="{00000000-0005-0000-0000-00005C0A0000}"/>
    <cellStyle name="Input 58 2" xfId="2600" xr:uid="{00000000-0005-0000-0000-00005D0A0000}"/>
    <cellStyle name="Input 58 3" xfId="2601" xr:uid="{00000000-0005-0000-0000-00005E0A0000}"/>
    <cellStyle name="Input 59" xfId="2602" xr:uid="{00000000-0005-0000-0000-00005F0A0000}"/>
    <cellStyle name="Input 59 2" xfId="2603" xr:uid="{00000000-0005-0000-0000-0000600A0000}"/>
    <cellStyle name="Input 59 3" xfId="2604" xr:uid="{00000000-0005-0000-0000-0000610A0000}"/>
    <cellStyle name="Input 6" xfId="2605" xr:uid="{00000000-0005-0000-0000-0000620A0000}"/>
    <cellStyle name="Input 6 2" xfId="2606" xr:uid="{00000000-0005-0000-0000-0000630A0000}"/>
    <cellStyle name="Input 6 3" xfId="2607" xr:uid="{00000000-0005-0000-0000-0000640A0000}"/>
    <cellStyle name="Input 60" xfId="2608" xr:uid="{00000000-0005-0000-0000-0000650A0000}"/>
    <cellStyle name="Input 60 2" xfId="2609" xr:uid="{00000000-0005-0000-0000-0000660A0000}"/>
    <cellStyle name="Input 60 3" xfId="2610" xr:uid="{00000000-0005-0000-0000-0000670A0000}"/>
    <cellStyle name="Input 61" xfId="2611" xr:uid="{00000000-0005-0000-0000-0000680A0000}"/>
    <cellStyle name="Input 61 2" xfId="2612" xr:uid="{00000000-0005-0000-0000-0000690A0000}"/>
    <cellStyle name="Input 61 3" xfId="2613" xr:uid="{00000000-0005-0000-0000-00006A0A0000}"/>
    <cellStyle name="Input 62" xfId="2614" xr:uid="{00000000-0005-0000-0000-00006B0A0000}"/>
    <cellStyle name="Input 62 2" xfId="2615" xr:uid="{00000000-0005-0000-0000-00006C0A0000}"/>
    <cellStyle name="Input 62 3" xfId="2616" xr:uid="{00000000-0005-0000-0000-00006D0A0000}"/>
    <cellStyle name="Input 63" xfId="2617" xr:uid="{00000000-0005-0000-0000-00006E0A0000}"/>
    <cellStyle name="Input 63 2" xfId="2618" xr:uid="{00000000-0005-0000-0000-00006F0A0000}"/>
    <cellStyle name="Input 63 3" xfId="2619" xr:uid="{00000000-0005-0000-0000-0000700A0000}"/>
    <cellStyle name="Input 64" xfId="2620" xr:uid="{00000000-0005-0000-0000-0000710A0000}"/>
    <cellStyle name="Input 64 2" xfId="2621" xr:uid="{00000000-0005-0000-0000-0000720A0000}"/>
    <cellStyle name="Input 64 3" xfId="2622" xr:uid="{00000000-0005-0000-0000-0000730A0000}"/>
    <cellStyle name="Input 65" xfId="2623" xr:uid="{00000000-0005-0000-0000-0000740A0000}"/>
    <cellStyle name="Input 65 2" xfId="2624" xr:uid="{00000000-0005-0000-0000-0000750A0000}"/>
    <cellStyle name="Input 65 3" xfId="2625" xr:uid="{00000000-0005-0000-0000-0000760A0000}"/>
    <cellStyle name="Input 66" xfId="2626" xr:uid="{00000000-0005-0000-0000-0000770A0000}"/>
    <cellStyle name="Input 66 2" xfId="2627" xr:uid="{00000000-0005-0000-0000-0000780A0000}"/>
    <cellStyle name="Input 66 3" xfId="2628" xr:uid="{00000000-0005-0000-0000-0000790A0000}"/>
    <cellStyle name="Input 67" xfId="2629" xr:uid="{00000000-0005-0000-0000-00007A0A0000}"/>
    <cellStyle name="Input 67 2" xfId="2630" xr:uid="{00000000-0005-0000-0000-00007B0A0000}"/>
    <cellStyle name="Input 67 3" xfId="2631" xr:uid="{00000000-0005-0000-0000-00007C0A0000}"/>
    <cellStyle name="Input 68" xfId="2632" xr:uid="{00000000-0005-0000-0000-00007D0A0000}"/>
    <cellStyle name="Input 68 2" xfId="2633" xr:uid="{00000000-0005-0000-0000-00007E0A0000}"/>
    <cellStyle name="Input 68 3" xfId="2634" xr:uid="{00000000-0005-0000-0000-00007F0A0000}"/>
    <cellStyle name="Input 69" xfId="2635" xr:uid="{00000000-0005-0000-0000-0000800A0000}"/>
    <cellStyle name="Input 69 2" xfId="2636" xr:uid="{00000000-0005-0000-0000-0000810A0000}"/>
    <cellStyle name="Input 69 3" xfId="2637" xr:uid="{00000000-0005-0000-0000-0000820A0000}"/>
    <cellStyle name="Input 7" xfId="2638" xr:uid="{00000000-0005-0000-0000-0000830A0000}"/>
    <cellStyle name="Input 7 2" xfId="2639" xr:uid="{00000000-0005-0000-0000-0000840A0000}"/>
    <cellStyle name="Input 7 3" xfId="2640" xr:uid="{00000000-0005-0000-0000-0000850A0000}"/>
    <cellStyle name="Input 70" xfId="2641" xr:uid="{00000000-0005-0000-0000-0000860A0000}"/>
    <cellStyle name="Input 70 2" xfId="2642" xr:uid="{00000000-0005-0000-0000-0000870A0000}"/>
    <cellStyle name="Input 70 3" xfId="2643" xr:uid="{00000000-0005-0000-0000-0000880A0000}"/>
    <cellStyle name="Input 71" xfId="2644" xr:uid="{00000000-0005-0000-0000-0000890A0000}"/>
    <cellStyle name="Input 71 2" xfId="2645" xr:uid="{00000000-0005-0000-0000-00008A0A0000}"/>
    <cellStyle name="Input 71 3" xfId="2646" xr:uid="{00000000-0005-0000-0000-00008B0A0000}"/>
    <cellStyle name="Input 72" xfId="2647" xr:uid="{00000000-0005-0000-0000-00008C0A0000}"/>
    <cellStyle name="Input 72 2" xfId="2648" xr:uid="{00000000-0005-0000-0000-00008D0A0000}"/>
    <cellStyle name="Input 72 3" xfId="2649" xr:uid="{00000000-0005-0000-0000-00008E0A0000}"/>
    <cellStyle name="Input 73" xfId="2650" xr:uid="{00000000-0005-0000-0000-00008F0A0000}"/>
    <cellStyle name="Input 73 2" xfId="2651" xr:uid="{00000000-0005-0000-0000-0000900A0000}"/>
    <cellStyle name="Input 73 3" xfId="2652" xr:uid="{00000000-0005-0000-0000-0000910A0000}"/>
    <cellStyle name="Input 74" xfId="2653" xr:uid="{00000000-0005-0000-0000-0000920A0000}"/>
    <cellStyle name="Input 74 2" xfId="2654" xr:uid="{00000000-0005-0000-0000-0000930A0000}"/>
    <cellStyle name="Input 74 3" xfId="2655" xr:uid="{00000000-0005-0000-0000-0000940A0000}"/>
    <cellStyle name="Input 75" xfId="2656" xr:uid="{00000000-0005-0000-0000-0000950A0000}"/>
    <cellStyle name="Input 75 2" xfId="2657" xr:uid="{00000000-0005-0000-0000-0000960A0000}"/>
    <cellStyle name="Input 75 3" xfId="2658" xr:uid="{00000000-0005-0000-0000-0000970A0000}"/>
    <cellStyle name="Input 76" xfId="2659" xr:uid="{00000000-0005-0000-0000-0000980A0000}"/>
    <cellStyle name="Input 76 2" xfId="2660" xr:uid="{00000000-0005-0000-0000-0000990A0000}"/>
    <cellStyle name="Input 76 3" xfId="2661" xr:uid="{00000000-0005-0000-0000-00009A0A0000}"/>
    <cellStyle name="Input 77" xfId="2662" xr:uid="{00000000-0005-0000-0000-00009B0A0000}"/>
    <cellStyle name="Input 77 2" xfId="2663" xr:uid="{00000000-0005-0000-0000-00009C0A0000}"/>
    <cellStyle name="Input 77 3" xfId="2664" xr:uid="{00000000-0005-0000-0000-00009D0A0000}"/>
    <cellStyle name="Input 78" xfId="2665" xr:uid="{00000000-0005-0000-0000-00009E0A0000}"/>
    <cellStyle name="Input 78 2" xfId="2666" xr:uid="{00000000-0005-0000-0000-00009F0A0000}"/>
    <cellStyle name="Input 78 3" xfId="2667" xr:uid="{00000000-0005-0000-0000-0000A00A0000}"/>
    <cellStyle name="Input 79" xfId="2668" xr:uid="{00000000-0005-0000-0000-0000A10A0000}"/>
    <cellStyle name="Input 79 2" xfId="2669" xr:uid="{00000000-0005-0000-0000-0000A20A0000}"/>
    <cellStyle name="Input 79 3" xfId="2670" xr:uid="{00000000-0005-0000-0000-0000A30A0000}"/>
    <cellStyle name="Input 8" xfId="2671" xr:uid="{00000000-0005-0000-0000-0000A40A0000}"/>
    <cellStyle name="Input 8 2" xfId="2672" xr:uid="{00000000-0005-0000-0000-0000A50A0000}"/>
    <cellStyle name="Input 8 3" xfId="2673" xr:uid="{00000000-0005-0000-0000-0000A60A0000}"/>
    <cellStyle name="Input 9" xfId="2674" xr:uid="{00000000-0005-0000-0000-0000A70A0000}"/>
    <cellStyle name="Input 9 2" xfId="2675" xr:uid="{00000000-0005-0000-0000-0000A80A0000}"/>
    <cellStyle name="Input 9 3" xfId="2676" xr:uid="{00000000-0005-0000-0000-0000A90A0000}"/>
    <cellStyle name="Input cell" xfId="2677" xr:uid="{00000000-0005-0000-0000-0000AA0A0000}"/>
    <cellStyle name="Input Cell #" xfId="2678" xr:uid="{00000000-0005-0000-0000-0000AB0A0000}"/>
    <cellStyle name="Input cell_BB Charts and Tables" xfId="2679" xr:uid="{00000000-0005-0000-0000-0000AC0A0000}"/>
    <cellStyle name="Input Cells" xfId="2680" xr:uid="{00000000-0005-0000-0000-0000AD0A0000}"/>
    <cellStyle name="Input1" xfId="2681" xr:uid="{00000000-0005-0000-0000-0000AE0A0000}"/>
    <cellStyle name="Input2" xfId="2682" xr:uid="{00000000-0005-0000-0000-0000AF0A0000}"/>
    <cellStyle name="InputBlueFont" xfId="2683" xr:uid="{00000000-0005-0000-0000-0000B00A0000}"/>
    <cellStyle name="InputNormal" xfId="2684" xr:uid="{00000000-0005-0000-0000-0000B10A0000}"/>
    <cellStyle name="InputNormal 2" xfId="2685" xr:uid="{00000000-0005-0000-0000-0000B20A0000}"/>
    <cellStyle name="Integer" xfId="2686" xr:uid="{00000000-0005-0000-0000-0000B30A0000}"/>
    <cellStyle name="Integer 2" xfId="2687" xr:uid="{00000000-0005-0000-0000-0000B40A0000}"/>
    <cellStyle name="Interest" xfId="2688" xr:uid="{00000000-0005-0000-0000-0000B50A0000}"/>
    <cellStyle name="Invisible" xfId="2689" xr:uid="{00000000-0005-0000-0000-0000B60A0000}"/>
    <cellStyle name="Italic" xfId="2690" xr:uid="{00000000-0005-0000-0000-0000B70A0000}"/>
    <cellStyle name="Italic Output Line Items" xfId="2691" xr:uid="{00000000-0005-0000-0000-0000B80A0000}"/>
    <cellStyle name="Italic Output Line Items NU" xfId="2692" xr:uid="{00000000-0005-0000-0000-0000B90A0000}"/>
    <cellStyle name="iu" xfId="2693" xr:uid="{00000000-0005-0000-0000-0000BA0A0000}"/>
    <cellStyle name="Jason" xfId="2694" xr:uid="{00000000-0005-0000-0000-0000BB0A0000}"/>
    <cellStyle name="jules" xfId="2695" xr:uid="{00000000-0005-0000-0000-0000BC0A0000}"/>
    <cellStyle name="k$" xfId="2696" xr:uid="{00000000-0005-0000-0000-0000BD0A0000}"/>
    <cellStyle name="k$ 2" xfId="2697" xr:uid="{00000000-0005-0000-0000-0000BE0A0000}"/>
    <cellStyle name="kECU" xfId="2698" xr:uid="{00000000-0005-0000-0000-0000BF0A0000}"/>
    <cellStyle name="kECU 10" xfId="2699" xr:uid="{00000000-0005-0000-0000-0000C00A0000}"/>
    <cellStyle name="kECU 10 2" xfId="2700" xr:uid="{00000000-0005-0000-0000-0000C10A0000}"/>
    <cellStyle name="kECU 10 3" xfId="2701" xr:uid="{00000000-0005-0000-0000-0000C20A0000}"/>
    <cellStyle name="kECU 10 4" xfId="2702" xr:uid="{00000000-0005-0000-0000-0000C30A0000}"/>
    <cellStyle name="kECU 10 5" xfId="2703" xr:uid="{00000000-0005-0000-0000-0000C40A0000}"/>
    <cellStyle name="kECU 10 6" xfId="2704" xr:uid="{00000000-0005-0000-0000-0000C50A0000}"/>
    <cellStyle name="kECU 10 7" xfId="2705" xr:uid="{00000000-0005-0000-0000-0000C60A0000}"/>
    <cellStyle name="kECU 10 8" xfId="2706" xr:uid="{00000000-0005-0000-0000-0000C70A0000}"/>
    <cellStyle name="kECU 10_rent roll template" xfId="2707" xr:uid="{00000000-0005-0000-0000-0000C80A0000}"/>
    <cellStyle name="kECU 11" xfId="2708" xr:uid="{00000000-0005-0000-0000-0000C90A0000}"/>
    <cellStyle name="kECU 11 2" xfId="2709" xr:uid="{00000000-0005-0000-0000-0000CA0A0000}"/>
    <cellStyle name="kECU 11 3" xfId="2710" xr:uid="{00000000-0005-0000-0000-0000CB0A0000}"/>
    <cellStyle name="kECU 11 4" xfId="2711" xr:uid="{00000000-0005-0000-0000-0000CC0A0000}"/>
    <cellStyle name="kECU 11 5" xfId="2712" xr:uid="{00000000-0005-0000-0000-0000CD0A0000}"/>
    <cellStyle name="kECU 11 6" xfId="2713" xr:uid="{00000000-0005-0000-0000-0000CE0A0000}"/>
    <cellStyle name="kECU 11 7" xfId="2714" xr:uid="{00000000-0005-0000-0000-0000CF0A0000}"/>
    <cellStyle name="kECU 11 8" xfId="2715" xr:uid="{00000000-0005-0000-0000-0000D00A0000}"/>
    <cellStyle name="kECU 11_rent roll template" xfId="2716" xr:uid="{00000000-0005-0000-0000-0000D10A0000}"/>
    <cellStyle name="kECU 12" xfId="2717" xr:uid="{00000000-0005-0000-0000-0000D20A0000}"/>
    <cellStyle name="kECU 12 2" xfId="2718" xr:uid="{00000000-0005-0000-0000-0000D30A0000}"/>
    <cellStyle name="kECU 12 3" xfId="2719" xr:uid="{00000000-0005-0000-0000-0000D40A0000}"/>
    <cellStyle name="kECU 12 4" xfId="2720" xr:uid="{00000000-0005-0000-0000-0000D50A0000}"/>
    <cellStyle name="kECU 12 5" xfId="2721" xr:uid="{00000000-0005-0000-0000-0000D60A0000}"/>
    <cellStyle name="kECU 12 6" xfId="2722" xr:uid="{00000000-0005-0000-0000-0000D70A0000}"/>
    <cellStyle name="kECU 12 7" xfId="2723" xr:uid="{00000000-0005-0000-0000-0000D80A0000}"/>
    <cellStyle name="kECU 12 8" xfId="2724" xr:uid="{00000000-0005-0000-0000-0000D90A0000}"/>
    <cellStyle name="kECU 12_rent roll template" xfId="2725" xr:uid="{00000000-0005-0000-0000-0000DA0A0000}"/>
    <cellStyle name="kECU 13" xfId="2726" xr:uid="{00000000-0005-0000-0000-0000DB0A0000}"/>
    <cellStyle name="kECU 2" xfId="2727" xr:uid="{00000000-0005-0000-0000-0000DC0A0000}"/>
    <cellStyle name="kECU 2 2" xfId="2728" xr:uid="{00000000-0005-0000-0000-0000DD0A0000}"/>
    <cellStyle name="kECU 2 3" xfId="2729" xr:uid="{00000000-0005-0000-0000-0000DE0A0000}"/>
    <cellStyle name="kECU 2 4" xfId="2730" xr:uid="{00000000-0005-0000-0000-0000DF0A0000}"/>
    <cellStyle name="kECU 2 5" xfId="2731" xr:uid="{00000000-0005-0000-0000-0000E00A0000}"/>
    <cellStyle name="kECU 2 6" xfId="2732" xr:uid="{00000000-0005-0000-0000-0000E10A0000}"/>
    <cellStyle name="kECU 2 7" xfId="2733" xr:uid="{00000000-0005-0000-0000-0000E20A0000}"/>
    <cellStyle name="kECU 2 8" xfId="2734" xr:uid="{00000000-0005-0000-0000-0000E30A0000}"/>
    <cellStyle name="kECU 2_rent roll template" xfId="2735" xr:uid="{00000000-0005-0000-0000-0000E40A0000}"/>
    <cellStyle name="kECU 3" xfId="2736" xr:uid="{00000000-0005-0000-0000-0000E50A0000}"/>
    <cellStyle name="kECU 3 2" xfId="2737" xr:uid="{00000000-0005-0000-0000-0000E60A0000}"/>
    <cellStyle name="kECU 3 3" xfId="2738" xr:uid="{00000000-0005-0000-0000-0000E70A0000}"/>
    <cellStyle name="kECU 3 4" xfId="2739" xr:uid="{00000000-0005-0000-0000-0000E80A0000}"/>
    <cellStyle name="kECU 3 5" xfId="2740" xr:uid="{00000000-0005-0000-0000-0000E90A0000}"/>
    <cellStyle name="kECU 3 6" xfId="2741" xr:uid="{00000000-0005-0000-0000-0000EA0A0000}"/>
    <cellStyle name="kECU 3 7" xfId="2742" xr:uid="{00000000-0005-0000-0000-0000EB0A0000}"/>
    <cellStyle name="kECU 3 8" xfId="2743" xr:uid="{00000000-0005-0000-0000-0000EC0A0000}"/>
    <cellStyle name="kECU 3_rent roll template" xfId="2744" xr:uid="{00000000-0005-0000-0000-0000ED0A0000}"/>
    <cellStyle name="kECU 4" xfId="2745" xr:uid="{00000000-0005-0000-0000-0000EE0A0000}"/>
    <cellStyle name="kECU 4 2" xfId="2746" xr:uid="{00000000-0005-0000-0000-0000EF0A0000}"/>
    <cellStyle name="kECU 4 3" xfId="2747" xr:uid="{00000000-0005-0000-0000-0000F00A0000}"/>
    <cellStyle name="kECU 4 4" xfId="2748" xr:uid="{00000000-0005-0000-0000-0000F10A0000}"/>
    <cellStyle name="kECU 4 5" xfId="2749" xr:uid="{00000000-0005-0000-0000-0000F20A0000}"/>
    <cellStyle name="kECU 4 6" xfId="2750" xr:uid="{00000000-0005-0000-0000-0000F30A0000}"/>
    <cellStyle name="kECU 4 7" xfId="2751" xr:uid="{00000000-0005-0000-0000-0000F40A0000}"/>
    <cellStyle name="kECU 4 8" xfId="2752" xr:uid="{00000000-0005-0000-0000-0000F50A0000}"/>
    <cellStyle name="kECU 4_rent roll template" xfId="2753" xr:uid="{00000000-0005-0000-0000-0000F60A0000}"/>
    <cellStyle name="kECU 5" xfId="2754" xr:uid="{00000000-0005-0000-0000-0000F70A0000}"/>
    <cellStyle name="kECU 5 2" xfId="2755" xr:uid="{00000000-0005-0000-0000-0000F80A0000}"/>
    <cellStyle name="kECU 5 3" xfId="2756" xr:uid="{00000000-0005-0000-0000-0000F90A0000}"/>
    <cellStyle name="kECU 5 4" xfId="2757" xr:uid="{00000000-0005-0000-0000-0000FA0A0000}"/>
    <cellStyle name="kECU 5 5" xfId="2758" xr:uid="{00000000-0005-0000-0000-0000FB0A0000}"/>
    <cellStyle name="kECU 5 6" xfId="2759" xr:uid="{00000000-0005-0000-0000-0000FC0A0000}"/>
    <cellStyle name="kECU 5 7" xfId="2760" xr:uid="{00000000-0005-0000-0000-0000FD0A0000}"/>
    <cellStyle name="kECU 5 8" xfId="2761" xr:uid="{00000000-0005-0000-0000-0000FE0A0000}"/>
    <cellStyle name="kECU 5_rent roll template" xfId="2762" xr:uid="{00000000-0005-0000-0000-0000FF0A0000}"/>
    <cellStyle name="kECU 6" xfId="2763" xr:uid="{00000000-0005-0000-0000-0000000B0000}"/>
    <cellStyle name="kECU 6 2" xfId="2764" xr:uid="{00000000-0005-0000-0000-0000010B0000}"/>
    <cellStyle name="kECU 6 3" xfId="2765" xr:uid="{00000000-0005-0000-0000-0000020B0000}"/>
    <cellStyle name="kECU 6 4" xfId="2766" xr:uid="{00000000-0005-0000-0000-0000030B0000}"/>
    <cellStyle name="kECU 6 5" xfId="2767" xr:uid="{00000000-0005-0000-0000-0000040B0000}"/>
    <cellStyle name="kECU 6 6" xfId="2768" xr:uid="{00000000-0005-0000-0000-0000050B0000}"/>
    <cellStyle name="kECU 6 7" xfId="2769" xr:uid="{00000000-0005-0000-0000-0000060B0000}"/>
    <cellStyle name="kECU 6 8" xfId="2770" xr:uid="{00000000-0005-0000-0000-0000070B0000}"/>
    <cellStyle name="kECU 6_rent roll template" xfId="2771" xr:uid="{00000000-0005-0000-0000-0000080B0000}"/>
    <cellStyle name="kECU 7" xfId="2772" xr:uid="{00000000-0005-0000-0000-0000090B0000}"/>
    <cellStyle name="kECU 7 2" xfId="2773" xr:uid="{00000000-0005-0000-0000-00000A0B0000}"/>
    <cellStyle name="kECU 7 3" xfId="2774" xr:uid="{00000000-0005-0000-0000-00000B0B0000}"/>
    <cellStyle name="kECU 7 4" xfId="2775" xr:uid="{00000000-0005-0000-0000-00000C0B0000}"/>
    <cellStyle name="kECU 7 5" xfId="2776" xr:uid="{00000000-0005-0000-0000-00000D0B0000}"/>
    <cellStyle name="kECU 7 6" xfId="2777" xr:uid="{00000000-0005-0000-0000-00000E0B0000}"/>
    <cellStyle name="kECU 7 7" xfId="2778" xr:uid="{00000000-0005-0000-0000-00000F0B0000}"/>
    <cellStyle name="kECU 7 8" xfId="2779" xr:uid="{00000000-0005-0000-0000-0000100B0000}"/>
    <cellStyle name="kECU 7_rent roll template" xfId="2780" xr:uid="{00000000-0005-0000-0000-0000110B0000}"/>
    <cellStyle name="kECU 8" xfId="2781" xr:uid="{00000000-0005-0000-0000-0000120B0000}"/>
    <cellStyle name="kECU 8 2" xfId="2782" xr:uid="{00000000-0005-0000-0000-0000130B0000}"/>
    <cellStyle name="kECU 8 3" xfId="2783" xr:uid="{00000000-0005-0000-0000-0000140B0000}"/>
    <cellStyle name="kECU 8 4" xfId="2784" xr:uid="{00000000-0005-0000-0000-0000150B0000}"/>
    <cellStyle name="kECU 8 5" xfId="2785" xr:uid="{00000000-0005-0000-0000-0000160B0000}"/>
    <cellStyle name="kECU 8 6" xfId="2786" xr:uid="{00000000-0005-0000-0000-0000170B0000}"/>
    <cellStyle name="kECU 8 7" xfId="2787" xr:uid="{00000000-0005-0000-0000-0000180B0000}"/>
    <cellStyle name="kECU 8 8" xfId="2788" xr:uid="{00000000-0005-0000-0000-0000190B0000}"/>
    <cellStyle name="kECU 8_rent roll template" xfId="2789" xr:uid="{00000000-0005-0000-0000-00001A0B0000}"/>
    <cellStyle name="kECU 9" xfId="2790" xr:uid="{00000000-0005-0000-0000-00001B0B0000}"/>
    <cellStyle name="kECU 9 2" xfId="2791" xr:uid="{00000000-0005-0000-0000-00001C0B0000}"/>
    <cellStyle name="kECU 9 3" xfId="2792" xr:uid="{00000000-0005-0000-0000-00001D0B0000}"/>
    <cellStyle name="kECU 9 4" xfId="2793" xr:uid="{00000000-0005-0000-0000-00001E0B0000}"/>
    <cellStyle name="kECU 9 5" xfId="2794" xr:uid="{00000000-0005-0000-0000-00001F0B0000}"/>
    <cellStyle name="kECU 9 6" xfId="2795" xr:uid="{00000000-0005-0000-0000-0000200B0000}"/>
    <cellStyle name="kECU 9 7" xfId="2796" xr:uid="{00000000-0005-0000-0000-0000210B0000}"/>
    <cellStyle name="kECU 9 8" xfId="2797" xr:uid="{00000000-0005-0000-0000-0000220B0000}"/>
    <cellStyle name="kECU 9_rent roll template" xfId="2798" xr:uid="{00000000-0005-0000-0000-0000230B0000}"/>
    <cellStyle name="kHUF" xfId="2799" xr:uid="{00000000-0005-0000-0000-0000240B0000}"/>
    <cellStyle name="kHUF 10" xfId="2800" xr:uid="{00000000-0005-0000-0000-0000250B0000}"/>
    <cellStyle name="kHUF 10 2" xfId="2801" xr:uid="{00000000-0005-0000-0000-0000260B0000}"/>
    <cellStyle name="kHUF 10 3" xfId="2802" xr:uid="{00000000-0005-0000-0000-0000270B0000}"/>
    <cellStyle name="kHUF 10 4" xfId="2803" xr:uid="{00000000-0005-0000-0000-0000280B0000}"/>
    <cellStyle name="kHUF 10 5" xfId="2804" xr:uid="{00000000-0005-0000-0000-0000290B0000}"/>
    <cellStyle name="kHUF 10 6" xfId="2805" xr:uid="{00000000-0005-0000-0000-00002A0B0000}"/>
    <cellStyle name="kHUF 10 7" xfId="2806" xr:uid="{00000000-0005-0000-0000-00002B0B0000}"/>
    <cellStyle name="kHUF 10 8" xfId="2807" xr:uid="{00000000-0005-0000-0000-00002C0B0000}"/>
    <cellStyle name="kHUF 10_rent roll template" xfId="2808" xr:uid="{00000000-0005-0000-0000-00002D0B0000}"/>
    <cellStyle name="kHUF 11" xfId="2809" xr:uid="{00000000-0005-0000-0000-00002E0B0000}"/>
    <cellStyle name="kHUF 11 2" xfId="2810" xr:uid="{00000000-0005-0000-0000-00002F0B0000}"/>
    <cellStyle name="kHUF 11 3" xfId="2811" xr:uid="{00000000-0005-0000-0000-0000300B0000}"/>
    <cellStyle name="kHUF 11 4" xfId="2812" xr:uid="{00000000-0005-0000-0000-0000310B0000}"/>
    <cellStyle name="kHUF 11 5" xfId="2813" xr:uid="{00000000-0005-0000-0000-0000320B0000}"/>
    <cellStyle name="kHUF 11 6" xfId="2814" xr:uid="{00000000-0005-0000-0000-0000330B0000}"/>
    <cellStyle name="kHUF 11 7" xfId="2815" xr:uid="{00000000-0005-0000-0000-0000340B0000}"/>
    <cellStyle name="kHUF 11 8" xfId="2816" xr:uid="{00000000-0005-0000-0000-0000350B0000}"/>
    <cellStyle name="kHUF 11_rent roll template" xfId="2817" xr:uid="{00000000-0005-0000-0000-0000360B0000}"/>
    <cellStyle name="kHUF 12" xfId="2818" xr:uid="{00000000-0005-0000-0000-0000370B0000}"/>
    <cellStyle name="kHUF 12 2" xfId="2819" xr:uid="{00000000-0005-0000-0000-0000380B0000}"/>
    <cellStyle name="kHUF 12 3" xfId="2820" xr:uid="{00000000-0005-0000-0000-0000390B0000}"/>
    <cellStyle name="kHUF 12 4" xfId="2821" xr:uid="{00000000-0005-0000-0000-00003A0B0000}"/>
    <cellStyle name="kHUF 12 5" xfId="2822" xr:uid="{00000000-0005-0000-0000-00003B0B0000}"/>
    <cellStyle name="kHUF 12 6" xfId="2823" xr:uid="{00000000-0005-0000-0000-00003C0B0000}"/>
    <cellStyle name="kHUF 12 7" xfId="2824" xr:uid="{00000000-0005-0000-0000-00003D0B0000}"/>
    <cellStyle name="kHUF 12 8" xfId="2825" xr:uid="{00000000-0005-0000-0000-00003E0B0000}"/>
    <cellStyle name="kHUF 12_rent roll template" xfId="2826" xr:uid="{00000000-0005-0000-0000-00003F0B0000}"/>
    <cellStyle name="kHUF 13" xfId="2827" xr:uid="{00000000-0005-0000-0000-0000400B0000}"/>
    <cellStyle name="kHUF 2" xfId="2828" xr:uid="{00000000-0005-0000-0000-0000410B0000}"/>
    <cellStyle name="kHUF 2 2" xfId="2829" xr:uid="{00000000-0005-0000-0000-0000420B0000}"/>
    <cellStyle name="kHUF 2 3" xfId="2830" xr:uid="{00000000-0005-0000-0000-0000430B0000}"/>
    <cellStyle name="kHUF 2 4" xfId="2831" xr:uid="{00000000-0005-0000-0000-0000440B0000}"/>
    <cellStyle name="kHUF 2 5" xfId="2832" xr:uid="{00000000-0005-0000-0000-0000450B0000}"/>
    <cellStyle name="kHUF 2 6" xfId="2833" xr:uid="{00000000-0005-0000-0000-0000460B0000}"/>
    <cellStyle name="kHUF 2 7" xfId="2834" xr:uid="{00000000-0005-0000-0000-0000470B0000}"/>
    <cellStyle name="kHUF 2 8" xfId="2835" xr:uid="{00000000-0005-0000-0000-0000480B0000}"/>
    <cellStyle name="kHUF 2_rent roll template" xfId="2836" xr:uid="{00000000-0005-0000-0000-0000490B0000}"/>
    <cellStyle name="kHUF 3" xfId="2837" xr:uid="{00000000-0005-0000-0000-00004A0B0000}"/>
    <cellStyle name="kHUF 3 2" xfId="2838" xr:uid="{00000000-0005-0000-0000-00004B0B0000}"/>
    <cellStyle name="kHUF 3 3" xfId="2839" xr:uid="{00000000-0005-0000-0000-00004C0B0000}"/>
    <cellStyle name="kHUF 3 4" xfId="2840" xr:uid="{00000000-0005-0000-0000-00004D0B0000}"/>
    <cellStyle name="kHUF 3 5" xfId="2841" xr:uid="{00000000-0005-0000-0000-00004E0B0000}"/>
    <cellStyle name="kHUF 3 6" xfId="2842" xr:uid="{00000000-0005-0000-0000-00004F0B0000}"/>
    <cellStyle name="kHUF 3 7" xfId="2843" xr:uid="{00000000-0005-0000-0000-0000500B0000}"/>
    <cellStyle name="kHUF 3 8" xfId="2844" xr:uid="{00000000-0005-0000-0000-0000510B0000}"/>
    <cellStyle name="kHUF 3_rent roll template" xfId="2845" xr:uid="{00000000-0005-0000-0000-0000520B0000}"/>
    <cellStyle name="kHUF 4" xfId="2846" xr:uid="{00000000-0005-0000-0000-0000530B0000}"/>
    <cellStyle name="kHUF 4 2" xfId="2847" xr:uid="{00000000-0005-0000-0000-0000540B0000}"/>
    <cellStyle name="kHUF 4 3" xfId="2848" xr:uid="{00000000-0005-0000-0000-0000550B0000}"/>
    <cellStyle name="kHUF 4 4" xfId="2849" xr:uid="{00000000-0005-0000-0000-0000560B0000}"/>
    <cellStyle name="kHUF 4 5" xfId="2850" xr:uid="{00000000-0005-0000-0000-0000570B0000}"/>
    <cellStyle name="kHUF 4 6" xfId="2851" xr:uid="{00000000-0005-0000-0000-0000580B0000}"/>
    <cellStyle name="kHUF 4 7" xfId="2852" xr:uid="{00000000-0005-0000-0000-0000590B0000}"/>
    <cellStyle name="kHUF 4 8" xfId="2853" xr:uid="{00000000-0005-0000-0000-00005A0B0000}"/>
    <cellStyle name="kHUF 4_rent roll template" xfId="2854" xr:uid="{00000000-0005-0000-0000-00005B0B0000}"/>
    <cellStyle name="kHUF 5" xfId="2855" xr:uid="{00000000-0005-0000-0000-00005C0B0000}"/>
    <cellStyle name="kHUF 5 2" xfId="2856" xr:uid="{00000000-0005-0000-0000-00005D0B0000}"/>
    <cellStyle name="kHUF 5 3" xfId="2857" xr:uid="{00000000-0005-0000-0000-00005E0B0000}"/>
    <cellStyle name="kHUF 5 4" xfId="2858" xr:uid="{00000000-0005-0000-0000-00005F0B0000}"/>
    <cellStyle name="kHUF 5 5" xfId="2859" xr:uid="{00000000-0005-0000-0000-0000600B0000}"/>
    <cellStyle name="kHUF 5 6" xfId="2860" xr:uid="{00000000-0005-0000-0000-0000610B0000}"/>
    <cellStyle name="kHUF 5 7" xfId="2861" xr:uid="{00000000-0005-0000-0000-0000620B0000}"/>
    <cellStyle name="kHUF 5 8" xfId="2862" xr:uid="{00000000-0005-0000-0000-0000630B0000}"/>
    <cellStyle name="kHUF 5_rent roll template" xfId="2863" xr:uid="{00000000-0005-0000-0000-0000640B0000}"/>
    <cellStyle name="kHUF 6" xfId="2864" xr:uid="{00000000-0005-0000-0000-0000650B0000}"/>
    <cellStyle name="kHUF 6 2" xfId="2865" xr:uid="{00000000-0005-0000-0000-0000660B0000}"/>
    <cellStyle name="kHUF 6 3" xfId="2866" xr:uid="{00000000-0005-0000-0000-0000670B0000}"/>
    <cellStyle name="kHUF 6 4" xfId="2867" xr:uid="{00000000-0005-0000-0000-0000680B0000}"/>
    <cellStyle name="kHUF 6 5" xfId="2868" xr:uid="{00000000-0005-0000-0000-0000690B0000}"/>
    <cellStyle name="kHUF 6 6" xfId="2869" xr:uid="{00000000-0005-0000-0000-00006A0B0000}"/>
    <cellStyle name="kHUF 6 7" xfId="2870" xr:uid="{00000000-0005-0000-0000-00006B0B0000}"/>
    <cellStyle name="kHUF 6 8" xfId="2871" xr:uid="{00000000-0005-0000-0000-00006C0B0000}"/>
    <cellStyle name="kHUF 6_rent roll template" xfId="2872" xr:uid="{00000000-0005-0000-0000-00006D0B0000}"/>
    <cellStyle name="kHUF 7" xfId="2873" xr:uid="{00000000-0005-0000-0000-00006E0B0000}"/>
    <cellStyle name="kHUF 7 2" xfId="2874" xr:uid="{00000000-0005-0000-0000-00006F0B0000}"/>
    <cellStyle name="kHUF 7 3" xfId="2875" xr:uid="{00000000-0005-0000-0000-0000700B0000}"/>
    <cellStyle name="kHUF 7 4" xfId="2876" xr:uid="{00000000-0005-0000-0000-0000710B0000}"/>
    <cellStyle name="kHUF 7 5" xfId="2877" xr:uid="{00000000-0005-0000-0000-0000720B0000}"/>
    <cellStyle name="kHUF 7 6" xfId="2878" xr:uid="{00000000-0005-0000-0000-0000730B0000}"/>
    <cellStyle name="kHUF 7 7" xfId="2879" xr:uid="{00000000-0005-0000-0000-0000740B0000}"/>
    <cellStyle name="kHUF 7 8" xfId="2880" xr:uid="{00000000-0005-0000-0000-0000750B0000}"/>
    <cellStyle name="kHUF 7_rent roll template" xfId="2881" xr:uid="{00000000-0005-0000-0000-0000760B0000}"/>
    <cellStyle name="kHUF 8" xfId="2882" xr:uid="{00000000-0005-0000-0000-0000770B0000}"/>
    <cellStyle name="kHUF 8 2" xfId="2883" xr:uid="{00000000-0005-0000-0000-0000780B0000}"/>
    <cellStyle name="kHUF 8 3" xfId="2884" xr:uid="{00000000-0005-0000-0000-0000790B0000}"/>
    <cellStyle name="kHUF 8 4" xfId="2885" xr:uid="{00000000-0005-0000-0000-00007A0B0000}"/>
    <cellStyle name="kHUF 8 5" xfId="2886" xr:uid="{00000000-0005-0000-0000-00007B0B0000}"/>
    <cellStyle name="kHUF 8 6" xfId="2887" xr:uid="{00000000-0005-0000-0000-00007C0B0000}"/>
    <cellStyle name="kHUF 8 7" xfId="2888" xr:uid="{00000000-0005-0000-0000-00007D0B0000}"/>
    <cellStyle name="kHUF 8 8" xfId="2889" xr:uid="{00000000-0005-0000-0000-00007E0B0000}"/>
    <cellStyle name="kHUF 8_rent roll template" xfId="2890" xr:uid="{00000000-0005-0000-0000-00007F0B0000}"/>
    <cellStyle name="kHUF 9" xfId="2891" xr:uid="{00000000-0005-0000-0000-0000800B0000}"/>
    <cellStyle name="kHUF 9 2" xfId="2892" xr:uid="{00000000-0005-0000-0000-0000810B0000}"/>
    <cellStyle name="kHUF 9 3" xfId="2893" xr:uid="{00000000-0005-0000-0000-0000820B0000}"/>
    <cellStyle name="kHUF 9 4" xfId="2894" xr:uid="{00000000-0005-0000-0000-0000830B0000}"/>
    <cellStyle name="kHUF 9 5" xfId="2895" xr:uid="{00000000-0005-0000-0000-0000840B0000}"/>
    <cellStyle name="kHUF 9 6" xfId="2896" xr:uid="{00000000-0005-0000-0000-0000850B0000}"/>
    <cellStyle name="kHUF 9 7" xfId="2897" xr:uid="{00000000-0005-0000-0000-0000860B0000}"/>
    <cellStyle name="kHUF 9 8" xfId="2898" xr:uid="{00000000-0005-0000-0000-0000870B0000}"/>
    <cellStyle name="kHUF 9_rent roll template" xfId="2899" xr:uid="{00000000-0005-0000-0000-0000880B0000}"/>
    <cellStyle name="kLE" xfId="2900" xr:uid="{00000000-0005-0000-0000-0000890B0000}"/>
    <cellStyle name="kLE 10" xfId="2901" xr:uid="{00000000-0005-0000-0000-00008A0B0000}"/>
    <cellStyle name="kLE 10 2" xfId="2902" xr:uid="{00000000-0005-0000-0000-00008B0B0000}"/>
    <cellStyle name="kLE 10 3" xfId="2903" xr:uid="{00000000-0005-0000-0000-00008C0B0000}"/>
    <cellStyle name="kLE 10 4" xfId="2904" xr:uid="{00000000-0005-0000-0000-00008D0B0000}"/>
    <cellStyle name="kLE 10 5" xfId="2905" xr:uid="{00000000-0005-0000-0000-00008E0B0000}"/>
    <cellStyle name="kLE 10 6" xfId="2906" xr:uid="{00000000-0005-0000-0000-00008F0B0000}"/>
    <cellStyle name="kLE 10 7" xfId="2907" xr:uid="{00000000-0005-0000-0000-0000900B0000}"/>
    <cellStyle name="kLE 10 8" xfId="2908" xr:uid="{00000000-0005-0000-0000-0000910B0000}"/>
    <cellStyle name="kLE 10_rent roll template" xfId="2909" xr:uid="{00000000-0005-0000-0000-0000920B0000}"/>
    <cellStyle name="kLE 11" xfId="2910" xr:uid="{00000000-0005-0000-0000-0000930B0000}"/>
    <cellStyle name="kLE 11 2" xfId="2911" xr:uid="{00000000-0005-0000-0000-0000940B0000}"/>
    <cellStyle name="kLE 11 3" xfId="2912" xr:uid="{00000000-0005-0000-0000-0000950B0000}"/>
    <cellStyle name="kLE 11 4" xfId="2913" xr:uid="{00000000-0005-0000-0000-0000960B0000}"/>
    <cellStyle name="kLE 11 5" xfId="2914" xr:uid="{00000000-0005-0000-0000-0000970B0000}"/>
    <cellStyle name="kLE 11 6" xfId="2915" xr:uid="{00000000-0005-0000-0000-0000980B0000}"/>
    <cellStyle name="kLE 11 7" xfId="2916" xr:uid="{00000000-0005-0000-0000-0000990B0000}"/>
    <cellStyle name="kLE 11 8" xfId="2917" xr:uid="{00000000-0005-0000-0000-00009A0B0000}"/>
    <cellStyle name="kLE 11_rent roll template" xfId="2918" xr:uid="{00000000-0005-0000-0000-00009B0B0000}"/>
    <cellStyle name="kLE 12" xfId="2919" xr:uid="{00000000-0005-0000-0000-00009C0B0000}"/>
    <cellStyle name="kLE 12 2" xfId="2920" xr:uid="{00000000-0005-0000-0000-00009D0B0000}"/>
    <cellStyle name="kLE 12 3" xfId="2921" xr:uid="{00000000-0005-0000-0000-00009E0B0000}"/>
    <cellStyle name="kLE 12 4" xfId="2922" xr:uid="{00000000-0005-0000-0000-00009F0B0000}"/>
    <cellStyle name="kLE 12 5" xfId="2923" xr:uid="{00000000-0005-0000-0000-0000A00B0000}"/>
    <cellStyle name="kLE 12 6" xfId="2924" xr:uid="{00000000-0005-0000-0000-0000A10B0000}"/>
    <cellStyle name="kLE 12 7" xfId="2925" xr:uid="{00000000-0005-0000-0000-0000A20B0000}"/>
    <cellStyle name="kLE 12 8" xfId="2926" xr:uid="{00000000-0005-0000-0000-0000A30B0000}"/>
    <cellStyle name="kLE 12_rent roll template" xfId="2927" xr:uid="{00000000-0005-0000-0000-0000A40B0000}"/>
    <cellStyle name="kLE 13" xfId="2928" xr:uid="{00000000-0005-0000-0000-0000A50B0000}"/>
    <cellStyle name="kLE 2" xfId="2929" xr:uid="{00000000-0005-0000-0000-0000A60B0000}"/>
    <cellStyle name="kLE 2 2" xfId="2930" xr:uid="{00000000-0005-0000-0000-0000A70B0000}"/>
    <cellStyle name="kLE 2 3" xfId="2931" xr:uid="{00000000-0005-0000-0000-0000A80B0000}"/>
    <cellStyle name="kLE 2 4" xfId="2932" xr:uid="{00000000-0005-0000-0000-0000A90B0000}"/>
    <cellStyle name="kLE 2 5" xfId="2933" xr:uid="{00000000-0005-0000-0000-0000AA0B0000}"/>
    <cellStyle name="kLE 2 6" xfId="2934" xr:uid="{00000000-0005-0000-0000-0000AB0B0000}"/>
    <cellStyle name="kLE 2 7" xfId="2935" xr:uid="{00000000-0005-0000-0000-0000AC0B0000}"/>
    <cellStyle name="kLE 2 8" xfId="2936" xr:uid="{00000000-0005-0000-0000-0000AD0B0000}"/>
    <cellStyle name="kLE 2_rent roll template" xfId="2937" xr:uid="{00000000-0005-0000-0000-0000AE0B0000}"/>
    <cellStyle name="kLE 3" xfId="2938" xr:uid="{00000000-0005-0000-0000-0000AF0B0000}"/>
    <cellStyle name="kLE 3 2" xfId="2939" xr:uid="{00000000-0005-0000-0000-0000B00B0000}"/>
    <cellStyle name="kLE 3 3" xfId="2940" xr:uid="{00000000-0005-0000-0000-0000B10B0000}"/>
    <cellStyle name="kLE 3 4" xfId="2941" xr:uid="{00000000-0005-0000-0000-0000B20B0000}"/>
    <cellStyle name="kLE 3 5" xfId="2942" xr:uid="{00000000-0005-0000-0000-0000B30B0000}"/>
    <cellStyle name="kLE 3 6" xfId="2943" xr:uid="{00000000-0005-0000-0000-0000B40B0000}"/>
    <cellStyle name="kLE 3 7" xfId="2944" xr:uid="{00000000-0005-0000-0000-0000B50B0000}"/>
    <cellStyle name="kLE 3 8" xfId="2945" xr:uid="{00000000-0005-0000-0000-0000B60B0000}"/>
    <cellStyle name="kLE 3_rent roll template" xfId="2946" xr:uid="{00000000-0005-0000-0000-0000B70B0000}"/>
    <cellStyle name="kLE 4" xfId="2947" xr:uid="{00000000-0005-0000-0000-0000B80B0000}"/>
    <cellStyle name="kLE 4 2" xfId="2948" xr:uid="{00000000-0005-0000-0000-0000B90B0000}"/>
    <cellStyle name="kLE 4 3" xfId="2949" xr:uid="{00000000-0005-0000-0000-0000BA0B0000}"/>
    <cellStyle name="kLE 4 4" xfId="2950" xr:uid="{00000000-0005-0000-0000-0000BB0B0000}"/>
    <cellStyle name="kLE 4 5" xfId="2951" xr:uid="{00000000-0005-0000-0000-0000BC0B0000}"/>
    <cellStyle name="kLE 4 6" xfId="2952" xr:uid="{00000000-0005-0000-0000-0000BD0B0000}"/>
    <cellStyle name="kLE 4 7" xfId="2953" xr:uid="{00000000-0005-0000-0000-0000BE0B0000}"/>
    <cellStyle name="kLE 4 8" xfId="2954" xr:uid="{00000000-0005-0000-0000-0000BF0B0000}"/>
    <cellStyle name="kLE 4_rent roll template" xfId="2955" xr:uid="{00000000-0005-0000-0000-0000C00B0000}"/>
    <cellStyle name="kLE 5" xfId="2956" xr:uid="{00000000-0005-0000-0000-0000C10B0000}"/>
    <cellStyle name="kLE 5 2" xfId="2957" xr:uid="{00000000-0005-0000-0000-0000C20B0000}"/>
    <cellStyle name="kLE 5 3" xfId="2958" xr:uid="{00000000-0005-0000-0000-0000C30B0000}"/>
    <cellStyle name="kLE 5 4" xfId="2959" xr:uid="{00000000-0005-0000-0000-0000C40B0000}"/>
    <cellStyle name="kLE 5 5" xfId="2960" xr:uid="{00000000-0005-0000-0000-0000C50B0000}"/>
    <cellStyle name="kLE 5 6" xfId="2961" xr:uid="{00000000-0005-0000-0000-0000C60B0000}"/>
    <cellStyle name="kLE 5 7" xfId="2962" xr:uid="{00000000-0005-0000-0000-0000C70B0000}"/>
    <cellStyle name="kLE 5 8" xfId="2963" xr:uid="{00000000-0005-0000-0000-0000C80B0000}"/>
    <cellStyle name="kLE 5_rent roll template" xfId="2964" xr:uid="{00000000-0005-0000-0000-0000C90B0000}"/>
    <cellStyle name="kLE 6" xfId="2965" xr:uid="{00000000-0005-0000-0000-0000CA0B0000}"/>
    <cellStyle name="kLE 6 2" xfId="2966" xr:uid="{00000000-0005-0000-0000-0000CB0B0000}"/>
    <cellStyle name="kLE 6 3" xfId="2967" xr:uid="{00000000-0005-0000-0000-0000CC0B0000}"/>
    <cellStyle name="kLE 6 4" xfId="2968" xr:uid="{00000000-0005-0000-0000-0000CD0B0000}"/>
    <cellStyle name="kLE 6 5" xfId="2969" xr:uid="{00000000-0005-0000-0000-0000CE0B0000}"/>
    <cellStyle name="kLE 6 6" xfId="2970" xr:uid="{00000000-0005-0000-0000-0000CF0B0000}"/>
    <cellStyle name="kLE 6 7" xfId="2971" xr:uid="{00000000-0005-0000-0000-0000D00B0000}"/>
    <cellStyle name="kLE 6 8" xfId="2972" xr:uid="{00000000-0005-0000-0000-0000D10B0000}"/>
    <cellStyle name="kLE 6_rent roll template" xfId="2973" xr:uid="{00000000-0005-0000-0000-0000D20B0000}"/>
    <cellStyle name="kLE 7" xfId="2974" xr:uid="{00000000-0005-0000-0000-0000D30B0000}"/>
    <cellStyle name="kLE 7 2" xfId="2975" xr:uid="{00000000-0005-0000-0000-0000D40B0000}"/>
    <cellStyle name="kLE 7 3" xfId="2976" xr:uid="{00000000-0005-0000-0000-0000D50B0000}"/>
    <cellStyle name="kLE 7 4" xfId="2977" xr:uid="{00000000-0005-0000-0000-0000D60B0000}"/>
    <cellStyle name="kLE 7 5" xfId="2978" xr:uid="{00000000-0005-0000-0000-0000D70B0000}"/>
    <cellStyle name="kLE 7 6" xfId="2979" xr:uid="{00000000-0005-0000-0000-0000D80B0000}"/>
    <cellStyle name="kLE 7 7" xfId="2980" xr:uid="{00000000-0005-0000-0000-0000D90B0000}"/>
    <cellStyle name="kLE 7 8" xfId="2981" xr:uid="{00000000-0005-0000-0000-0000DA0B0000}"/>
    <cellStyle name="kLE 7_rent roll template" xfId="2982" xr:uid="{00000000-0005-0000-0000-0000DB0B0000}"/>
    <cellStyle name="kLE 8" xfId="2983" xr:uid="{00000000-0005-0000-0000-0000DC0B0000}"/>
    <cellStyle name="kLE 8 2" xfId="2984" xr:uid="{00000000-0005-0000-0000-0000DD0B0000}"/>
    <cellStyle name="kLE 8 3" xfId="2985" xr:uid="{00000000-0005-0000-0000-0000DE0B0000}"/>
    <cellStyle name="kLE 8 4" xfId="2986" xr:uid="{00000000-0005-0000-0000-0000DF0B0000}"/>
    <cellStyle name="kLE 8 5" xfId="2987" xr:uid="{00000000-0005-0000-0000-0000E00B0000}"/>
    <cellStyle name="kLE 8 6" xfId="2988" xr:uid="{00000000-0005-0000-0000-0000E10B0000}"/>
    <cellStyle name="kLE 8 7" xfId="2989" xr:uid="{00000000-0005-0000-0000-0000E20B0000}"/>
    <cellStyle name="kLE 8 8" xfId="2990" xr:uid="{00000000-0005-0000-0000-0000E30B0000}"/>
    <cellStyle name="kLE 8_rent roll template" xfId="2991" xr:uid="{00000000-0005-0000-0000-0000E40B0000}"/>
    <cellStyle name="kLE 9" xfId="2992" xr:uid="{00000000-0005-0000-0000-0000E50B0000}"/>
    <cellStyle name="kLE 9 2" xfId="2993" xr:uid="{00000000-0005-0000-0000-0000E60B0000}"/>
    <cellStyle name="kLE 9 3" xfId="2994" xr:uid="{00000000-0005-0000-0000-0000E70B0000}"/>
    <cellStyle name="kLE 9 4" xfId="2995" xr:uid="{00000000-0005-0000-0000-0000E80B0000}"/>
    <cellStyle name="kLE 9 5" xfId="2996" xr:uid="{00000000-0005-0000-0000-0000E90B0000}"/>
    <cellStyle name="kLE 9 6" xfId="2997" xr:uid="{00000000-0005-0000-0000-0000EA0B0000}"/>
    <cellStyle name="kLE 9 7" xfId="2998" xr:uid="{00000000-0005-0000-0000-0000EB0B0000}"/>
    <cellStyle name="kLE 9 8" xfId="2999" xr:uid="{00000000-0005-0000-0000-0000EC0B0000}"/>
    <cellStyle name="kLE 9_rent roll template" xfId="3000" xr:uid="{00000000-0005-0000-0000-0000ED0B0000}"/>
    <cellStyle name="Kolumnrubrik" xfId="3001" xr:uid="{00000000-0005-0000-0000-0000EE0B0000}"/>
    <cellStyle name="KP_Normal" xfId="3002" xr:uid="{00000000-0005-0000-0000-0000EF0B0000}"/>
    <cellStyle name="l" xfId="3003" xr:uid="{00000000-0005-0000-0000-0000F00B0000}"/>
    <cellStyle name="Lable8Left" xfId="3004" xr:uid="{00000000-0005-0000-0000-0000F10B0000}"/>
    <cellStyle name="Large Page Heading" xfId="3005" xr:uid="{00000000-0005-0000-0000-0000F20B0000}"/>
    <cellStyle name="left" xfId="3006" xr:uid="{00000000-0005-0000-0000-0000F30B0000}"/>
    <cellStyle name="leftStyle" xfId="3007" xr:uid="{00000000-0005-0000-0000-0000F40B0000}"/>
    <cellStyle name="leftStyle2" xfId="3008" xr:uid="{00000000-0005-0000-0000-0000F50B0000}"/>
    <cellStyle name="Line" xfId="3009" xr:uid="{00000000-0005-0000-0000-0000F60B0000}"/>
    <cellStyle name="LineItem" xfId="3010" xr:uid="{00000000-0005-0000-0000-0000F70B0000}"/>
    <cellStyle name="LineItemPrompt" xfId="3011" xr:uid="{00000000-0005-0000-0000-0000F80B0000}"/>
    <cellStyle name="LineItemValue" xfId="3012" xr:uid="{00000000-0005-0000-0000-0000F90B0000}"/>
    <cellStyle name="Link" xfId="3013" xr:uid="{00000000-0005-0000-0000-0000FA0B0000}"/>
    <cellStyle name="Linked Cell #" xfId="3014" xr:uid="{00000000-0005-0000-0000-0000FB0B0000}"/>
    <cellStyle name="Linked Cell 10" xfId="3015" xr:uid="{00000000-0005-0000-0000-0000FC0B0000}"/>
    <cellStyle name="Linked Cell 11" xfId="3016" xr:uid="{00000000-0005-0000-0000-0000FD0B0000}"/>
    <cellStyle name="Linked Cell 12" xfId="3017" xr:uid="{00000000-0005-0000-0000-0000FE0B0000}"/>
    <cellStyle name="Linked Cell 13" xfId="3018" xr:uid="{00000000-0005-0000-0000-0000FF0B0000}"/>
    <cellStyle name="Linked Cell 14" xfId="3019" xr:uid="{00000000-0005-0000-0000-0000000C0000}"/>
    <cellStyle name="Linked Cell 15" xfId="3020" xr:uid="{00000000-0005-0000-0000-0000010C0000}"/>
    <cellStyle name="Linked Cell 16" xfId="3021" xr:uid="{00000000-0005-0000-0000-0000020C0000}"/>
    <cellStyle name="Linked Cell 17" xfId="3022" xr:uid="{00000000-0005-0000-0000-0000030C0000}"/>
    <cellStyle name="Linked Cell 18" xfId="3023" xr:uid="{00000000-0005-0000-0000-0000040C0000}"/>
    <cellStyle name="Linked Cell 19" xfId="3024" xr:uid="{00000000-0005-0000-0000-0000050C0000}"/>
    <cellStyle name="Linked Cell 2" xfId="3025" xr:uid="{00000000-0005-0000-0000-0000060C0000}"/>
    <cellStyle name="Linked Cell 20" xfId="3026" xr:uid="{00000000-0005-0000-0000-0000070C0000}"/>
    <cellStyle name="Linked Cell 21" xfId="3027" xr:uid="{00000000-0005-0000-0000-0000080C0000}"/>
    <cellStyle name="Linked Cell 22" xfId="3028" xr:uid="{00000000-0005-0000-0000-0000090C0000}"/>
    <cellStyle name="Linked Cell 23" xfId="3029" xr:uid="{00000000-0005-0000-0000-00000A0C0000}"/>
    <cellStyle name="Linked Cell 24" xfId="3030" xr:uid="{00000000-0005-0000-0000-00000B0C0000}"/>
    <cellStyle name="Linked Cell 25" xfId="3031" xr:uid="{00000000-0005-0000-0000-00000C0C0000}"/>
    <cellStyle name="Linked Cell 26" xfId="3032" xr:uid="{00000000-0005-0000-0000-00000D0C0000}"/>
    <cellStyle name="Linked Cell 27" xfId="3033" xr:uid="{00000000-0005-0000-0000-00000E0C0000}"/>
    <cellStyle name="Linked Cell 28" xfId="3034" xr:uid="{00000000-0005-0000-0000-00000F0C0000}"/>
    <cellStyle name="Linked Cell 29" xfId="3035" xr:uid="{00000000-0005-0000-0000-0000100C0000}"/>
    <cellStyle name="Linked Cell 3" xfId="3036" xr:uid="{00000000-0005-0000-0000-0000110C0000}"/>
    <cellStyle name="Linked Cell 30" xfId="3037" xr:uid="{00000000-0005-0000-0000-0000120C0000}"/>
    <cellStyle name="Linked Cell 31" xfId="3038" xr:uid="{00000000-0005-0000-0000-0000130C0000}"/>
    <cellStyle name="Linked Cell 32" xfId="3039" xr:uid="{00000000-0005-0000-0000-0000140C0000}"/>
    <cellStyle name="Linked Cell 33" xfId="3040" xr:uid="{00000000-0005-0000-0000-0000150C0000}"/>
    <cellStyle name="Linked Cell 34" xfId="3041" xr:uid="{00000000-0005-0000-0000-0000160C0000}"/>
    <cellStyle name="Linked Cell 35" xfId="3042" xr:uid="{00000000-0005-0000-0000-0000170C0000}"/>
    <cellStyle name="Linked Cell 36" xfId="3043" xr:uid="{00000000-0005-0000-0000-0000180C0000}"/>
    <cellStyle name="Linked Cell 37" xfId="3044" xr:uid="{00000000-0005-0000-0000-0000190C0000}"/>
    <cellStyle name="Linked Cell 38" xfId="3045" xr:uid="{00000000-0005-0000-0000-00001A0C0000}"/>
    <cellStyle name="Linked Cell 39" xfId="3046" xr:uid="{00000000-0005-0000-0000-00001B0C0000}"/>
    <cellStyle name="Linked Cell 4" xfId="3047" xr:uid="{00000000-0005-0000-0000-00001C0C0000}"/>
    <cellStyle name="Linked Cell 40" xfId="3048" xr:uid="{00000000-0005-0000-0000-00001D0C0000}"/>
    <cellStyle name="Linked Cell 41" xfId="3049" xr:uid="{00000000-0005-0000-0000-00001E0C0000}"/>
    <cellStyle name="Linked Cell 42" xfId="3050" xr:uid="{00000000-0005-0000-0000-00001F0C0000}"/>
    <cellStyle name="Linked Cell 43" xfId="3051" xr:uid="{00000000-0005-0000-0000-0000200C0000}"/>
    <cellStyle name="Linked Cell 44" xfId="3052" xr:uid="{00000000-0005-0000-0000-0000210C0000}"/>
    <cellStyle name="Linked Cell 45" xfId="3053" xr:uid="{00000000-0005-0000-0000-0000220C0000}"/>
    <cellStyle name="Linked Cell 46" xfId="3054" xr:uid="{00000000-0005-0000-0000-0000230C0000}"/>
    <cellStyle name="Linked Cell 47" xfId="3055" xr:uid="{00000000-0005-0000-0000-0000240C0000}"/>
    <cellStyle name="Linked Cell 48" xfId="3056" xr:uid="{00000000-0005-0000-0000-0000250C0000}"/>
    <cellStyle name="Linked Cell 49" xfId="3057" xr:uid="{00000000-0005-0000-0000-0000260C0000}"/>
    <cellStyle name="Linked Cell 5" xfId="3058" xr:uid="{00000000-0005-0000-0000-0000270C0000}"/>
    <cellStyle name="Linked Cell 50" xfId="3059" xr:uid="{00000000-0005-0000-0000-0000280C0000}"/>
    <cellStyle name="Linked Cell 51" xfId="3060" xr:uid="{00000000-0005-0000-0000-0000290C0000}"/>
    <cellStyle name="Linked Cell 52" xfId="3061" xr:uid="{00000000-0005-0000-0000-00002A0C0000}"/>
    <cellStyle name="Linked Cell 53" xfId="3062" xr:uid="{00000000-0005-0000-0000-00002B0C0000}"/>
    <cellStyle name="Linked Cell 54" xfId="3063" xr:uid="{00000000-0005-0000-0000-00002C0C0000}"/>
    <cellStyle name="Linked Cell 55" xfId="3064" xr:uid="{00000000-0005-0000-0000-00002D0C0000}"/>
    <cellStyle name="Linked Cell 56" xfId="3065" xr:uid="{00000000-0005-0000-0000-00002E0C0000}"/>
    <cellStyle name="Linked Cell 57" xfId="3066" xr:uid="{00000000-0005-0000-0000-00002F0C0000}"/>
    <cellStyle name="Linked Cell 58" xfId="3067" xr:uid="{00000000-0005-0000-0000-0000300C0000}"/>
    <cellStyle name="Linked Cell 59" xfId="3068" xr:uid="{00000000-0005-0000-0000-0000310C0000}"/>
    <cellStyle name="Linked Cell 6" xfId="3069" xr:uid="{00000000-0005-0000-0000-0000320C0000}"/>
    <cellStyle name="Linked Cell 60" xfId="3070" xr:uid="{00000000-0005-0000-0000-0000330C0000}"/>
    <cellStyle name="Linked Cell 61" xfId="3071" xr:uid="{00000000-0005-0000-0000-0000340C0000}"/>
    <cellStyle name="Linked Cell 62" xfId="3072" xr:uid="{00000000-0005-0000-0000-0000350C0000}"/>
    <cellStyle name="Linked Cell 63" xfId="3073" xr:uid="{00000000-0005-0000-0000-0000360C0000}"/>
    <cellStyle name="Linked Cell 64" xfId="3074" xr:uid="{00000000-0005-0000-0000-0000370C0000}"/>
    <cellStyle name="Linked Cell 65" xfId="3075" xr:uid="{00000000-0005-0000-0000-0000380C0000}"/>
    <cellStyle name="Linked Cell 66" xfId="3076" xr:uid="{00000000-0005-0000-0000-0000390C0000}"/>
    <cellStyle name="Linked Cell 67" xfId="3077" xr:uid="{00000000-0005-0000-0000-00003A0C0000}"/>
    <cellStyle name="Linked Cell 68" xfId="3078" xr:uid="{00000000-0005-0000-0000-00003B0C0000}"/>
    <cellStyle name="Linked Cell 69" xfId="3079" xr:uid="{00000000-0005-0000-0000-00003C0C0000}"/>
    <cellStyle name="Linked Cell 7" xfId="3080" xr:uid="{00000000-0005-0000-0000-00003D0C0000}"/>
    <cellStyle name="Linked Cell 70" xfId="3081" xr:uid="{00000000-0005-0000-0000-00003E0C0000}"/>
    <cellStyle name="Linked Cell 71" xfId="3082" xr:uid="{00000000-0005-0000-0000-00003F0C0000}"/>
    <cellStyle name="Linked Cell 72" xfId="3083" xr:uid="{00000000-0005-0000-0000-0000400C0000}"/>
    <cellStyle name="Linked Cell 73" xfId="3084" xr:uid="{00000000-0005-0000-0000-0000410C0000}"/>
    <cellStyle name="Linked Cell 74" xfId="3085" xr:uid="{00000000-0005-0000-0000-0000420C0000}"/>
    <cellStyle name="Linked Cell 75" xfId="3086" xr:uid="{00000000-0005-0000-0000-0000430C0000}"/>
    <cellStyle name="Linked Cell 76" xfId="3087" xr:uid="{00000000-0005-0000-0000-0000440C0000}"/>
    <cellStyle name="Linked Cell 77" xfId="3088" xr:uid="{00000000-0005-0000-0000-0000450C0000}"/>
    <cellStyle name="Linked Cell 78" xfId="3089" xr:uid="{00000000-0005-0000-0000-0000460C0000}"/>
    <cellStyle name="Linked Cell 79" xfId="3090" xr:uid="{00000000-0005-0000-0000-0000470C0000}"/>
    <cellStyle name="Linked Cell 8" xfId="3091" xr:uid="{00000000-0005-0000-0000-0000480C0000}"/>
    <cellStyle name="Linked Cell 9" xfId="3092" xr:uid="{00000000-0005-0000-0000-0000490C0000}"/>
    <cellStyle name="Linked Cells" xfId="3093" xr:uid="{00000000-0005-0000-0000-00004A0C0000}"/>
    <cellStyle name="lm" xfId="3094" xr:uid="{00000000-0005-0000-0000-00004B0C0000}"/>
    <cellStyle name="LocalTerm" xfId="3095" xr:uid="{00000000-0005-0000-0000-00004C0C0000}"/>
    <cellStyle name="Lock" xfId="3096" xr:uid="{00000000-0005-0000-0000-00004D0C0000}"/>
    <cellStyle name="Lock partiel" xfId="3097" xr:uid="{00000000-0005-0000-0000-00004E0C0000}"/>
    <cellStyle name="Lock_Definitions" xfId="3098" xr:uid="{00000000-0005-0000-0000-00004F0C0000}"/>
    <cellStyle name="LP0" xfId="3099" xr:uid="{00000000-0005-0000-0000-0000500C0000}"/>
    <cellStyle name="LTM Cell Column Heading" xfId="3100" xr:uid="{00000000-0005-0000-0000-0000510C0000}"/>
    <cellStyle name="LTM Cell Column Heading 2" xfId="3101" xr:uid="{00000000-0005-0000-0000-0000520C0000}"/>
    <cellStyle name="LTM Cell Column Heading_ar and other liab_AS - with normalisations (3)" xfId="3102" xr:uid="{00000000-0005-0000-0000-0000530C0000}"/>
    <cellStyle name="m" xfId="3103" xr:uid="{00000000-0005-0000-0000-0000540C0000}"/>
    <cellStyle name="m 2" xfId="3104" xr:uid="{00000000-0005-0000-0000-0000550C0000}"/>
    <cellStyle name="m&amp;a" xfId="3105" xr:uid="{00000000-0005-0000-0000-0000560C0000}"/>
    <cellStyle name="m,1" xfId="3106" xr:uid="{00000000-0005-0000-0000-0000570C0000}"/>
    <cellStyle name="m1" xfId="3107" xr:uid="{00000000-0005-0000-0000-0000580C0000}"/>
    <cellStyle name="m1 2" xfId="3108" xr:uid="{00000000-0005-0000-0000-0000590C0000}"/>
    <cellStyle name="m1`" xfId="3109" xr:uid="{00000000-0005-0000-0000-00005A0C0000}"/>
    <cellStyle name="m2" xfId="3110" xr:uid="{00000000-0005-0000-0000-00005B0C0000}"/>
    <cellStyle name="m2 2" xfId="3111" xr:uid="{00000000-0005-0000-0000-00005C0C0000}"/>
    <cellStyle name="m3" xfId="3112" xr:uid="{00000000-0005-0000-0000-00005D0C0000}"/>
    <cellStyle name="m3 2" xfId="3113" xr:uid="{00000000-0005-0000-0000-00005E0C0000}"/>
    <cellStyle name="m4" xfId="3114" xr:uid="{00000000-0005-0000-0000-00005F0C0000}"/>
    <cellStyle name="MacroCode" xfId="3115" xr:uid="{00000000-0005-0000-0000-0000600C0000}"/>
    <cellStyle name="MacroCode 2" xfId="27870" xr:uid="{00000000-0005-0000-0000-0000610C0000}"/>
    <cellStyle name="MacroCode 2 2" xfId="27959" xr:uid="{00000000-0005-0000-0000-0000620C0000}"/>
    <cellStyle name="MacroCode 2 2 2" xfId="28179" xr:uid="{00000000-0005-0000-0000-0000630C0000}"/>
    <cellStyle name="MacroCode 2 3" xfId="28192" xr:uid="{00000000-0005-0000-0000-0000640C0000}"/>
    <cellStyle name="Map Labels" xfId="3116" xr:uid="{00000000-0005-0000-0000-0000650C0000}"/>
    <cellStyle name="Map Legend" xfId="3117" xr:uid="{00000000-0005-0000-0000-0000660C0000}"/>
    <cellStyle name="Margins" xfId="3118" xr:uid="{00000000-0005-0000-0000-0000670C0000}"/>
    <cellStyle name="Market Segment" xfId="3119" xr:uid="{00000000-0005-0000-0000-0000680C0000}"/>
    <cellStyle name="Market Segment 2" xfId="3120" xr:uid="{00000000-0005-0000-0000-0000690C0000}"/>
    <cellStyle name="Market Segment 2 2" xfId="3121" xr:uid="{00000000-0005-0000-0000-00006A0C0000}"/>
    <cellStyle name="Market Segment 2 2 2" xfId="3122" xr:uid="{00000000-0005-0000-0000-00006B0C0000}"/>
    <cellStyle name="Market Segment 2 2 3" xfId="3123" xr:uid="{00000000-0005-0000-0000-00006C0C0000}"/>
    <cellStyle name="Market Segment 2 3" xfId="3124" xr:uid="{00000000-0005-0000-0000-00006D0C0000}"/>
    <cellStyle name="Market Segment 2 4" xfId="3125" xr:uid="{00000000-0005-0000-0000-00006E0C0000}"/>
    <cellStyle name="Market Segment 3" xfId="3126" xr:uid="{00000000-0005-0000-0000-00006F0C0000}"/>
    <cellStyle name="Market Segment 3 2" xfId="3127" xr:uid="{00000000-0005-0000-0000-0000700C0000}"/>
    <cellStyle name="Market Segment 3 3" xfId="3128" xr:uid="{00000000-0005-0000-0000-0000710C0000}"/>
    <cellStyle name="Market Segment 4" xfId="3129" xr:uid="{00000000-0005-0000-0000-0000720C0000}"/>
    <cellStyle name="Market Segment 5" xfId="3130" xr:uid="{00000000-0005-0000-0000-0000730C0000}"/>
    <cellStyle name="Maturity" xfId="3131" xr:uid="{00000000-0005-0000-0000-0000740C0000}"/>
    <cellStyle name="MediumGrid" xfId="3132" xr:uid="{00000000-0005-0000-0000-0000750C0000}"/>
    <cellStyle name="Menu Bar" xfId="3133" xr:uid="{00000000-0005-0000-0000-0000760C0000}"/>
    <cellStyle name="Metric tons" xfId="3134" xr:uid="{00000000-0005-0000-0000-0000770C0000}"/>
    <cellStyle name="Migliaia (0)_A" xfId="3135" xr:uid="{00000000-0005-0000-0000-0000780C0000}"/>
    <cellStyle name="Migliaia_A" xfId="3136" xr:uid="{00000000-0005-0000-0000-0000790C0000}"/>
    <cellStyle name="Mike" xfId="3137" xr:uid="{00000000-0005-0000-0000-00007A0C0000}"/>
    <cellStyle name="Millares [0]_10 AVERIAS MASIVAS + ANT" xfId="3138" xr:uid="{00000000-0005-0000-0000-00007B0C0000}"/>
    <cellStyle name="Millares_10 AVERIAS MASIVAS + ANT" xfId="3139" xr:uid="{00000000-0005-0000-0000-00007C0C0000}"/>
    <cellStyle name="Milliers [0]_EDYAN" xfId="3140" xr:uid="{00000000-0005-0000-0000-00007D0C0000}"/>
    <cellStyle name="Milliers_EDYAN" xfId="3141" xr:uid="{00000000-0005-0000-0000-00007E0C0000}"/>
    <cellStyle name="millions" xfId="3142" xr:uid="{00000000-0005-0000-0000-00007F0C0000}"/>
    <cellStyle name="millions ($)" xfId="3143" xr:uid="{00000000-0005-0000-0000-0000800C0000}"/>
    <cellStyle name="millions (no dec.)" xfId="3144" xr:uid="{00000000-0005-0000-0000-0000810C0000}"/>
    <cellStyle name="Millions_TARGET" xfId="3145" xr:uid="{00000000-0005-0000-0000-0000820C0000}"/>
    <cellStyle name="MLComma0" xfId="3146" xr:uid="{00000000-0005-0000-0000-0000830C0000}"/>
    <cellStyle name="MLComma0 2" xfId="3147" xr:uid="{00000000-0005-0000-0000-0000840C0000}"/>
    <cellStyle name="Model" xfId="3148" xr:uid="{00000000-0005-0000-0000-0000850C0000}"/>
    <cellStyle name="Moeda [0]_Ativos Garantidores" xfId="3149" xr:uid="{00000000-0005-0000-0000-0000860C0000}"/>
    <cellStyle name="Moeda_Ativos Garantidores" xfId="3150" xr:uid="{00000000-0005-0000-0000-0000870C0000}"/>
    <cellStyle name="mon" xfId="3151" xr:uid="{00000000-0005-0000-0000-0000880C0000}"/>
    <cellStyle name="Moneda [0]_10 AVERIAS MASIVAS + ANT" xfId="3152" xr:uid="{00000000-0005-0000-0000-0000890C0000}"/>
    <cellStyle name="Moneda_10 AVERIAS MASIVAS + ANT" xfId="3153" xr:uid="{00000000-0005-0000-0000-00008A0C0000}"/>
    <cellStyle name="Monétaire [0]_EDYAN" xfId="3154" xr:uid="{00000000-0005-0000-0000-00008B0C0000}"/>
    <cellStyle name="Monétaire_EDYAN" xfId="3155" xr:uid="{00000000-0005-0000-0000-00008C0C0000}"/>
    <cellStyle name="Monetario" xfId="3156" xr:uid="{00000000-0005-0000-0000-00008D0C0000}"/>
    <cellStyle name="Monetario0" xfId="3157" xr:uid="{00000000-0005-0000-0000-00008E0C0000}"/>
    <cellStyle name="Month" xfId="3158" xr:uid="{00000000-0005-0000-0000-00008F0C0000}"/>
    <cellStyle name="mq" xfId="3159" xr:uid="{00000000-0005-0000-0000-0000900C0000}"/>
    <cellStyle name="Multiple" xfId="3160" xr:uid="{00000000-0005-0000-0000-0000910C0000}"/>
    <cellStyle name="Multiple Cell Column Heading" xfId="3161" xr:uid="{00000000-0005-0000-0000-0000920C0000}"/>
    <cellStyle name="Multiple1" xfId="3162" xr:uid="{00000000-0005-0000-0000-0000930C0000}"/>
    <cellStyle name="n" xfId="3163" xr:uid="{00000000-0005-0000-0000-0000940C0000}"/>
    <cellStyle name="N_Input" xfId="3164" xr:uid="{00000000-0005-0000-0000-0000950C0000}"/>
    <cellStyle name="N_Input 2" xfId="3165" xr:uid="{00000000-0005-0000-0000-0000960C0000}"/>
    <cellStyle name="N_Input_ATD Valuation - 3Q10 v30" xfId="3166" xr:uid="{00000000-0005-0000-0000-0000970C0000}"/>
    <cellStyle name="N_Input_ATD Valuation - 4Q10 v7 FOP only" xfId="3167" xr:uid="{00000000-0005-0000-0000-0000980C0000}"/>
    <cellStyle name="N_Input_Book1" xfId="3168" xr:uid="{00000000-0005-0000-0000-0000990C0000}"/>
    <cellStyle name="N_Input_Lenta Valuation - 4Q10" xfId="3169" xr:uid="{00000000-0005-0000-0000-00009A0C0000}"/>
    <cellStyle name="n1" xfId="3170" xr:uid="{00000000-0005-0000-0000-00009B0C0000}"/>
    <cellStyle name="n2" xfId="3171" xr:uid="{00000000-0005-0000-0000-00009C0C0000}"/>
    <cellStyle name="n3" xfId="3172" xr:uid="{00000000-0005-0000-0000-00009D0C0000}"/>
    <cellStyle name="Name - Style7" xfId="3173" xr:uid="{00000000-0005-0000-0000-00009E0C0000}"/>
    <cellStyle name="Negative" xfId="3174" xr:uid="{00000000-0005-0000-0000-00009F0C0000}"/>
    <cellStyle name="Negative 2" xfId="3175" xr:uid="{00000000-0005-0000-0000-0000A00C0000}"/>
    <cellStyle name="Neutral 10" xfId="3176" xr:uid="{00000000-0005-0000-0000-0000A10C0000}"/>
    <cellStyle name="Neutral 11" xfId="3177" xr:uid="{00000000-0005-0000-0000-0000A20C0000}"/>
    <cellStyle name="Neutral 12" xfId="3178" xr:uid="{00000000-0005-0000-0000-0000A30C0000}"/>
    <cellStyle name="Neutral 13" xfId="3179" xr:uid="{00000000-0005-0000-0000-0000A40C0000}"/>
    <cellStyle name="Neutral 14" xfId="3180" xr:uid="{00000000-0005-0000-0000-0000A50C0000}"/>
    <cellStyle name="Neutral 15" xfId="3181" xr:uid="{00000000-0005-0000-0000-0000A60C0000}"/>
    <cellStyle name="Neutral 16" xfId="3182" xr:uid="{00000000-0005-0000-0000-0000A70C0000}"/>
    <cellStyle name="Neutral 17" xfId="3183" xr:uid="{00000000-0005-0000-0000-0000A80C0000}"/>
    <cellStyle name="Neutral 18" xfId="3184" xr:uid="{00000000-0005-0000-0000-0000A90C0000}"/>
    <cellStyle name="Neutral 19" xfId="3185" xr:uid="{00000000-0005-0000-0000-0000AA0C0000}"/>
    <cellStyle name="Neutral 2" xfId="3186" xr:uid="{00000000-0005-0000-0000-0000AB0C0000}"/>
    <cellStyle name="Neutral 20" xfId="3187" xr:uid="{00000000-0005-0000-0000-0000AC0C0000}"/>
    <cellStyle name="Neutral 21" xfId="3188" xr:uid="{00000000-0005-0000-0000-0000AD0C0000}"/>
    <cellStyle name="Neutral 22" xfId="3189" xr:uid="{00000000-0005-0000-0000-0000AE0C0000}"/>
    <cellStyle name="Neutral 23" xfId="3190" xr:uid="{00000000-0005-0000-0000-0000AF0C0000}"/>
    <cellStyle name="Neutral 24" xfId="3191" xr:uid="{00000000-0005-0000-0000-0000B00C0000}"/>
    <cellStyle name="Neutral 25" xfId="3192" xr:uid="{00000000-0005-0000-0000-0000B10C0000}"/>
    <cellStyle name="Neutral 26" xfId="3193" xr:uid="{00000000-0005-0000-0000-0000B20C0000}"/>
    <cellStyle name="Neutral 27" xfId="3194" xr:uid="{00000000-0005-0000-0000-0000B30C0000}"/>
    <cellStyle name="Neutral 28" xfId="3195" xr:uid="{00000000-0005-0000-0000-0000B40C0000}"/>
    <cellStyle name="Neutral 29" xfId="3196" xr:uid="{00000000-0005-0000-0000-0000B50C0000}"/>
    <cellStyle name="Neutral 3" xfId="3197" xr:uid="{00000000-0005-0000-0000-0000B60C0000}"/>
    <cellStyle name="Neutral 30" xfId="3198" xr:uid="{00000000-0005-0000-0000-0000B70C0000}"/>
    <cellStyle name="Neutral 31" xfId="3199" xr:uid="{00000000-0005-0000-0000-0000B80C0000}"/>
    <cellStyle name="Neutral 32" xfId="3200" xr:uid="{00000000-0005-0000-0000-0000B90C0000}"/>
    <cellStyle name="Neutral 33" xfId="3201" xr:uid="{00000000-0005-0000-0000-0000BA0C0000}"/>
    <cellStyle name="Neutral 34" xfId="3202" xr:uid="{00000000-0005-0000-0000-0000BB0C0000}"/>
    <cellStyle name="Neutral 35" xfId="3203" xr:uid="{00000000-0005-0000-0000-0000BC0C0000}"/>
    <cellStyle name="Neutral 36" xfId="3204" xr:uid="{00000000-0005-0000-0000-0000BD0C0000}"/>
    <cellStyle name="Neutral 37" xfId="3205" xr:uid="{00000000-0005-0000-0000-0000BE0C0000}"/>
    <cellStyle name="Neutral 38" xfId="3206" xr:uid="{00000000-0005-0000-0000-0000BF0C0000}"/>
    <cellStyle name="Neutral 39" xfId="3207" xr:uid="{00000000-0005-0000-0000-0000C00C0000}"/>
    <cellStyle name="Neutral 4" xfId="3208" xr:uid="{00000000-0005-0000-0000-0000C10C0000}"/>
    <cellStyle name="Neutral 40" xfId="3209" xr:uid="{00000000-0005-0000-0000-0000C20C0000}"/>
    <cellStyle name="Neutral 41" xfId="3210" xr:uid="{00000000-0005-0000-0000-0000C30C0000}"/>
    <cellStyle name="Neutral 42" xfId="3211" xr:uid="{00000000-0005-0000-0000-0000C40C0000}"/>
    <cellStyle name="Neutral 43" xfId="3212" xr:uid="{00000000-0005-0000-0000-0000C50C0000}"/>
    <cellStyle name="Neutral 44" xfId="3213" xr:uid="{00000000-0005-0000-0000-0000C60C0000}"/>
    <cellStyle name="Neutral 45" xfId="3214" xr:uid="{00000000-0005-0000-0000-0000C70C0000}"/>
    <cellStyle name="Neutral 46" xfId="3215" xr:uid="{00000000-0005-0000-0000-0000C80C0000}"/>
    <cellStyle name="Neutral 47" xfId="3216" xr:uid="{00000000-0005-0000-0000-0000C90C0000}"/>
    <cellStyle name="Neutral 48" xfId="3217" xr:uid="{00000000-0005-0000-0000-0000CA0C0000}"/>
    <cellStyle name="Neutral 49" xfId="3218" xr:uid="{00000000-0005-0000-0000-0000CB0C0000}"/>
    <cellStyle name="Neutral 5" xfId="3219" xr:uid="{00000000-0005-0000-0000-0000CC0C0000}"/>
    <cellStyle name="Neutral 50" xfId="3220" xr:uid="{00000000-0005-0000-0000-0000CD0C0000}"/>
    <cellStyle name="Neutral 51" xfId="3221" xr:uid="{00000000-0005-0000-0000-0000CE0C0000}"/>
    <cellStyle name="Neutral 52" xfId="3222" xr:uid="{00000000-0005-0000-0000-0000CF0C0000}"/>
    <cellStyle name="Neutral 53" xfId="3223" xr:uid="{00000000-0005-0000-0000-0000D00C0000}"/>
    <cellStyle name="Neutral 54" xfId="3224" xr:uid="{00000000-0005-0000-0000-0000D10C0000}"/>
    <cellStyle name="Neutral 55" xfId="3225" xr:uid="{00000000-0005-0000-0000-0000D20C0000}"/>
    <cellStyle name="Neutral 56" xfId="3226" xr:uid="{00000000-0005-0000-0000-0000D30C0000}"/>
    <cellStyle name="Neutral 57" xfId="3227" xr:uid="{00000000-0005-0000-0000-0000D40C0000}"/>
    <cellStyle name="Neutral 58" xfId="3228" xr:uid="{00000000-0005-0000-0000-0000D50C0000}"/>
    <cellStyle name="Neutral 59" xfId="3229" xr:uid="{00000000-0005-0000-0000-0000D60C0000}"/>
    <cellStyle name="Neutral 6" xfId="3230" xr:uid="{00000000-0005-0000-0000-0000D70C0000}"/>
    <cellStyle name="Neutral 60" xfId="3231" xr:uid="{00000000-0005-0000-0000-0000D80C0000}"/>
    <cellStyle name="Neutral 61" xfId="3232" xr:uid="{00000000-0005-0000-0000-0000D90C0000}"/>
    <cellStyle name="Neutral 62" xfId="3233" xr:uid="{00000000-0005-0000-0000-0000DA0C0000}"/>
    <cellStyle name="Neutral 63" xfId="3234" xr:uid="{00000000-0005-0000-0000-0000DB0C0000}"/>
    <cellStyle name="Neutral 64" xfId="3235" xr:uid="{00000000-0005-0000-0000-0000DC0C0000}"/>
    <cellStyle name="Neutral 65" xfId="3236" xr:uid="{00000000-0005-0000-0000-0000DD0C0000}"/>
    <cellStyle name="Neutral 66" xfId="3237" xr:uid="{00000000-0005-0000-0000-0000DE0C0000}"/>
    <cellStyle name="Neutral 67" xfId="3238" xr:uid="{00000000-0005-0000-0000-0000DF0C0000}"/>
    <cellStyle name="Neutral 68" xfId="3239" xr:uid="{00000000-0005-0000-0000-0000E00C0000}"/>
    <cellStyle name="Neutral 69" xfId="3240" xr:uid="{00000000-0005-0000-0000-0000E10C0000}"/>
    <cellStyle name="Neutral 7" xfId="3241" xr:uid="{00000000-0005-0000-0000-0000E20C0000}"/>
    <cellStyle name="Neutral 70" xfId="3242" xr:uid="{00000000-0005-0000-0000-0000E30C0000}"/>
    <cellStyle name="Neutral 71" xfId="3243" xr:uid="{00000000-0005-0000-0000-0000E40C0000}"/>
    <cellStyle name="Neutral 72" xfId="3244" xr:uid="{00000000-0005-0000-0000-0000E50C0000}"/>
    <cellStyle name="Neutral 73" xfId="3245" xr:uid="{00000000-0005-0000-0000-0000E60C0000}"/>
    <cellStyle name="Neutral 74" xfId="3246" xr:uid="{00000000-0005-0000-0000-0000E70C0000}"/>
    <cellStyle name="Neutral 75" xfId="3247" xr:uid="{00000000-0005-0000-0000-0000E80C0000}"/>
    <cellStyle name="Neutral 76" xfId="3248" xr:uid="{00000000-0005-0000-0000-0000E90C0000}"/>
    <cellStyle name="Neutral 77" xfId="3249" xr:uid="{00000000-0005-0000-0000-0000EA0C0000}"/>
    <cellStyle name="Neutral 78" xfId="3250" xr:uid="{00000000-0005-0000-0000-0000EB0C0000}"/>
    <cellStyle name="Neutral 79" xfId="3251" xr:uid="{00000000-0005-0000-0000-0000EC0C0000}"/>
    <cellStyle name="Neutral 8" xfId="3252" xr:uid="{00000000-0005-0000-0000-0000ED0C0000}"/>
    <cellStyle name="Neutral 9" xfId="3253" xr:uid="{00000000-0005-0000-0000-0000EE0C0000}"/>
    <cellStyle name="NewColumnHeaderNormal" xfId="3254" xr:uid="{00000000-0005-0000-0000-0000EF0C0000}"/>
    <cellStyle name="NewSectionHeaderNormal" xfId="3255" xr:uid="{00000000-0005-0000-0000-0000F00C0000}"/>
    <cellStyle name="NewTitleNormal" xfId="3256" xr:uid="{00000000-0005-0000-0000-0000F10C0000}"/>
    <cellStyle name="NG" xfId="3257" xr:uid="{00000000-0005-0000-0000-0000F20C0000}"/>
    <cellStyle name="Ni" xfId="3258" xr:uid="{00000000-0005-0000-0000-0000F30C0000}"/>
    <cellStyle name="No Border" xfId="3259" xr:uid="{00000000-0005-0000-0000-0000F40C0000}"/>
    <cellStyle name="No Commas" xfId="3260" xr:uid="{00000000-0005-0000-0000-0000F50C0000}"/>
    <cellStyle name="no dec" xfId="3261" xr:uid="{00000000-0005-0000-0000-0000F60C0000}"/>
    <cellStyle name="Normal - Style1" xfId="3262" xr:uid="{00000000-0005-0000-0000-0000F80C0000}"/>
    <cellStyle name="Normal - Style2" xfId="3263" xr:uid="{00000000-0005-0000-0000-0000F90C0000}"/>
    <cellStyle name="Normal - Style3" xfId="3264" xr:uid="{00000000-0005-0000-0000-0000FA0C0000}"/>
    <cellStyle name="Normal - Style4" xfId="3265" xr:uid="{00000000-0005-0000-0000-0000FB0C0000}"/>
    <cellStyle name="Normal - Style5" xfId="3266" xr:uid="{00000000-0005-0000-0000-0000FC0C0000}"/>
    <cellStyle name="Normal - Style8" xfId="3267" xr:uid="{00000000-0005-0000-0000-0000FD0C0000}"/>
    <cellStyle name="Normal 10" xfId="3268" xr:uid="{00000000-0005-0000-0000-0000FE0C0000}"/>
    <cellStyle name="Normal 10 2" xfId="3269" xr:uid="{00000000-0005-0000-0000-0000FF0C0000}"/>
    <cellStyle name="Normal 10 3" xfId="3270" xr:uid="{00000000-0005-0000-0000-0000000D0000}"/>
    <cellStyle name="Normal 100" xfId="3271" xr:uid="{00000000-0005-0000-0000-0000010D0000}"/>
    <cellStyle name="Normal 101" xfId="3272" xr:uid="{00000000-0005-0000-0000-0000020D0000}"/>
    <cellStyle name="Normal 102" xfId="3273" xr:uid="{00000000-0005-0000-0000-0000030D0000}"/>
    <cellStyle name="Normal 103" xfId="3274" xr:uid="{00000000-0005-0000-0000-0000040D0000}"/>
    <cellStyle name="Normal 104" xfId="3275" xr:uid="{00000000-0005-0000-0000-0000050D0000}"/>
    <cellStyle name="Normal 105" xfId="3276" xr:uid="{00000000-0005-0000-0000-0000060D0000}"/>
    <cellStyle name="Normal 106" xfId="3277" xr:uid="{00000000-0005-0000-0000-0000070D0000}"/>
    <cellStyle name="Normal 106 2" xfId="3278" xr:uid="{00000000-0005-0000-0000-0000080D0000}"/>
    <cellStyle name="Normal 107" xfId="3279" xr:uid="{00000000-0005-0000-0000-0000090D0000}"/>
    <cellStyle name="Normal 108" xfId="3280" xr:uid="{00000000-0005-0000-0000-00000A0D0000}"/>
    <cellStyle name="Normal 109" xfId="3281" xr:uid="{00000000-0005-0000-0000-00000B0D0000}"/>
    <cellStyle name="Normal 11" xfId="3282" xr:uid="{00000000-0005-0000-0000-00000C0D0000}"/>
    <cellStyle name="Normal 110" xfId="3283" xr:uid="{00000000-0005-0000-0000-00000D0D0000}"/>
    <cellStyle name="Normal 111" xfId="3284" xr:uid="{00000000-0005-0000-0000-00000E0D0000}"/>
    <cellStyle name="Normal 112" xfId="3285" xr:uid="{00000000-0005-0000-0000-00000F0D0000}"/>
    <cellStyle name="Normal 113" xfId="12" xr:uid="{00000000-0005-0000-0000-0000100D0000}"/>
    <cellStyle name="Normal 114" xfId="26179" xr:uid="{00000000-0005-0000-0000-0000110D0000}"/>
    <cellStyle name="Normal 115" xfId="28186" xr:uid="{00000000-0005-0000-0000-0000120D0000}"/>
    <cellStyle name="Normal 116" xfId="28184" xr:uid="{00000000-0005-0000-0000-0000130D0000}"/>
    <cellStyle name="Normal 117" xfId="28200" xr:uid="{00000000-0005-0000-0000-0000140D0000}"/>
    <cellStyle name="Normal 118" xfId="28275" xr:uid="{00000000-0005-0000-0000-0000150D0000}"/>
    <cellStyle name="Normal 12" xfId="3286" xr:uid="{00000000-0005-0000-0000-0000160D0000}"/>
    <cellStyle name="Normal 13" xfId="3287" xr:uid="{00000000-0005-0000-0000-0000170D0000}"/>
    <cellStyle name="Normal 13 2" xfId="3288" xr:uid="{00000000-0005-0000-0000-0000180D0000}"/>
    <cellStyle name="Normal 14" xfId="3289" xr:uid="{00000000-0005-0000-0000-0000190D0000}"/>
    <cellStyle name="Normal 15" xfId="3290" xr:uid="{00000000-0005-0000-0000-00001A0D0000}"/>
    <cellStyle name="Normal 16" xfId="3291" xr:uid="{00000000-0005-0000-0000-00001B0D0000}"/>
    <cellStyle name="Normal 17" xfId="3292" xr:uid="{00000000-0005-0000-0000-00001C0D0000}"/>
    <cellStyle name="Normal 18" xfId="3293" xr:uid="{00000000-0005-0000-0000-00001D0D0000}"/>
    <cellStyle name="Normal 19" xfId="3294" xr:uid="{00000000-0005-0000-0000-00001E0D0000}"/>
    <cellStyle name="Normal 2" xfId="3295" xr:uid="{00000000-0005-0000-0000-00001F0D0000}"/>
    <cellStyle name="Normal 2 10" xfId="3296" xr:uid="{00000000-0005-0000-0000-0000200D0000}"/>
    <cellStyle name="Normal 2 2" xfId="3297" xr:uid="{00000000-0005-0000-0000-0000210D0000}"/>
    <cellStyle name="Normal 2 2 2" xfId="3298" xr:uid="{00000000-0005-0000-0000-0000220D0000}"/>
    <cellStyle name="Normal 2 2 3" xfId="3299" xr:uid="{00000000-0005-0000-0000-0000230D0000}"/>
    <cellStyle name="Normal 2 2 3 2" xfId="3300" xr:uid="{00000000-0005-0000-0000-0000240D0000}"/>
    <cellStyle name="Normal 2 2 4" xfId="3301" xr:uid="{00000000-0005-0000-0000-0000250D0000}"/>
    <cellStyle name="Normal 2 3" xfId="3302" xr:uid="{00000000-0005-0000-0000-0000260D0000}"/>
    <cellStyle name="Normal 2 4" xfId="3303" xr:uid="{00000000-0005-0000-0000-0000270D0000}"/>
    <cellStyle name="Normal 2 4 2" xfId="3304" xr:uid="{00000000-0005-0000-0000-0000280D0000}"/>
    <cellStyle name="Normal 2 4 3" xfId="3305" xr:uid="{00000000-0005-0000-0000-0000290D0000}"/>
    <cellStyle name="Normal 2 5" xfId="3306" xr:uid="{00000000-0005-0000-0000-00002A0D0000}"/>
    <cellStyle name="Normal 2 5 2" xfId="6" xr:uid="{00000000-0005-0000-0000-00002B0D0000}"/>
    <cellStyle name="Normal 2 6" xfId="3307" xr:uid="{00000000-0005-0000-0000-00002C0D0000}"/>
    <cellStyle name="Normal 2 7" xfId="3308" xr:uid="{00000000-0005-0000-0000-00002D0D0000}"/>
    <cellStyle name="Normal 2 8" xfId="3309" xr:uid="{00000000-0005-0000-0000-00002E0D0000}"/>
    <cellStyle name="Normal 2 9" xfId="3310" xr:uid="{00000000-0005-0000-0000-00002F0D0000}"/>
    <cellStyle name="Normal 2_Biomet Valuation - 4Q10" xfId="3311" xr:uid="{00000000-0005-0000-0000-0000300D0000}"/>
    <cellStyle name="Normal 20" xfId="3312" xr:uid="{00000000-0005-0000-0000-0000310D0000}"/>
    <cellStyle name="Normal 21" xfId="3313" xr:uid="{00000000-0005-0000-0000-0000320D0000}"/>
    <cellStyle name="Normal 22" xfId="3314" xr:uid="{00000000-0005-0000-0000-0000330D0000}"/>
    <cellStyle name="Normal 23" xfId="3315" xr:uid="{00000000-0005-0000-0000-0000340D0000}"/>
    <cellStyle name="Normal 24" xfId="3316" xr:uid="{00000000-0005-0000-0000-0000350D0000}"/>
    <cellStyle name="Normal 25" xfId="3317" xr:uid="{00000000-0005-0000-0000-0000360D0000}"/>
    <cellStyle name="Normal 26" xfId="3318" xr:uid="{00000000-0005-0000-0000-0000370D0000}"/>
    <cellStyle name="Normal 27" xfId="3319" xr:uid="{00000000-0005-0000-0000-0000380D0000}"/>
    <cellStyle name="Normal 28" xfId="3320" xr:uid="{00000000-0005-0000-0000-0000390D0000}"/>
    <cellStyle name="Normal 29" xfId="3321" xr:uid="{00000000-0005-0000-0000-00003A0D0000}"/>
    <cellStyle name="Normal 29 2" xfId="3322" xr:uid="{00000000-0005-0000-0000-00003B0D0000}"/>
    <cellStyle name="Normal 29 3" xfId="3323" xr:uid="{00000000-0005-0000-0000-00003C0D0000}"/>
    <cellStyle name="Normal 29 4" xfId="3324" xr:uid="{00000000-0005-0000-0000-00003D0D0000}"/>
    <cellStyle name="Normal 29 5" xfId="3325" xr:uid="{00000000-0005-0000-0000-00003E0D0000}"/>
    <cellStyle name="Normal 29 6" xfId="3326" xr:uid="{00000000-0005-0000-0000-00003F0D0000}"/>
    <cellStyle name="Normal 29 7" xfId="3327" xr:uid="{00000000-0005-0000-0000-0000400D0000}"/>
    <cellStyle name="Normal 29_Financial Statements - Mgmt (12-31-08) (2)" xfId="3328" xr:uid="{00000000-0005-0000-0000-0000410D0000}"/>
    <cellStyle name="Normal 3" xfId="3329" xr:uid="{00000000-0005-0000-0000-0000420D0000}"/>
    <cellStyle name="Normal 3 2" xfId="3330" xr:uid="{00000000-0005-0000-0000-0000430D0000}"/>
    <cellStyle name="Normal 3 3" xfId="3331" xr:uid="{00000000-0005-0000-0000-0000440D0000}"/>
    <cellStyle name="Normal 3 4" xfId="3332" xr:uid="{00000000-0005-0000-0000-0000450D0000}"/>
    <cellStyle name="Normal 3 5" xfId="3333" xr:uid="{00000000-0005-0000-0000-0000460D0000}"/>
    <cellStyle name="Normal 3 6" xfId="3334" xr:uid="{00000000-0005-0000-0000-0000470D0000}"/>
    <cellStyle name="Normal 3 7" xfId="3335" xr:uid="{00000000-0005-0000-0000-0000480D0000}"/>
    <cellStyle name="Normal 3 8" xfId="3336" xr:uid="{00000000-0005-0000-0000-0000490D0000}"/>
    <cellStyle name="Normal 3 9" xfId="3337" xr:uid="{00000000-0005-0000-0000-00004A0D0000}"/>
    <cellStyle name="Normal 3_Financial Statements - Mgmt (12-31-08) (2)" xfId="3338" xr:uid="{00000000-0005-0000-0000-00004B0D0000}"/>
    <cellStyle name="Normal 30" xfId="3339" xr:uid="{00000000-0005-0000-0000-00004C0D0000}"/>
    <cellStyle name="Normal 31" xfId="3340" xr:uid="{00000000-0005-0000-0000-00004D0D0000}"/>
    <cellStyle name="Normal 32" xfId="3341" xr:uid="{00000000-0005-0000-0000-00004E0D0000}"/>
    <cellStyle name="Normal 33" xfId="3342" xr:uid="{00000000-0005-0000-0000-00004F0D0000}"/>
    <cellStyle name="Normal 34" xfId="3343" xr:uid="{00000000-0005-0000-0000-0000500D0000}"/>
    <cellStyle name="Normal 35" xfId="3344" xr:uid="{00000000-0005-0000-0000-0000510D0000}"/>
    <cellStyle name="Normal 36" xfId="3345" xr:uid="{00000000-0005-0000-0000-0000520D0000}"/>
    <cellStyle name="Normal 37" xfId="3346" xr:uid="{00000000-0005-0000-0000-0000530D0000}"/>
    <cellStyle name="Normal 38" xfId="3347" xr:uid="{00000000-0005-0000-0000-0000540D0000}"/>
    <cellStyle name="Normal 39" xfId="3348" xr:uid="{00000000-0005-0000-0000-0000550D0000}"/>
    <cellStyle name="Normal 4" xfId="3349" xr:uid="{00000000-0005-0000-0000-0000560D0000}"/>
    <cellStyle name="Normal 4 2" xfId="3350" xr:uid="{00000000-0005-0000-0000-0000570D0000}"/>
    <cellStyle name="Normal 4 3" xfId="3351" xr:uid="{00000000-0005-0000-0000-0000580D0000}"/>
    <cellStyle name="Normal 4 4" xfId="3352" xr:uid="{00000000-0005-0000-0000-0000590D0000}"/>
    <cellStyle name="Normal 4 5" xfId="3353" xr:uid="{00000000-0005-0000-0000-00005A0D0000}"/>
    <cellStyle name="Normal 4 6" xfId="3354" xr:uid="{00000000-0005-0000-0000-00005B0D0000}"/>
    <cellStyle name="Normal 4 7" xfId="3355" xr:uid="{00000000-0005-0000-0000-00005C0D0000}"/>
    <cellStyle name="Normal 4 8" xfId="3356" xr:uid="{00000000-0005-0000-0000-00005D0D0000}"/>
    <cellStyle name="Normal 4 9" xfId="3357" xr:uid="{00000000-0005-0000-0000-00005E0D0000}"/>
    <cellStyle name="Normal 4_Financial Statements - Mgmt (12-31-07) - Post Audit" xfId="3358" xr:uid="{00000000-0005-0000-0000-00005F0D0000}"/>
    <cellStyle name="Normal 40" xfId="3359" xr:uid="{00000000-0005-0000-0000-0000600D0000}"/>
    <cellStyle name="Normal 41" xfId="3360" xr:uid="{00000000-0005-0000-0000-0000610D0000}"/>
    <cellStyle name="Normal 42" xfId="3361" xr:uid="{00000000-0005-0000-0000-0000620D0000}"/>
    <cellStyle name="Normal 43" xfId="3362" xr:uid="{00000000-0005-0000-0000-0000630D0000}"/>
    <cellStyle name="Normal 44" xfId="3363" xr:uid="{00000000-0005-0000-0000-0000640D0000}"/>
    <cellStyle name="Normal 45" xfId="3364" xr:uid="{00000000-0005-0000-0000-0000650D0000}"/>
    <cellStyle name="Normal 46" xfId="3365" xr:uid="{00000000-0005-0000-0000-0000660D0000}"/>
    <cellStyle name="Normal 47" xfId="3366" xr:uid="{00000000-0005-0000-0000-0000670D0000}"/>
    <cellStyle name="Normal 48" xfId="3367" xr:uid="{00000000-0005-0000-0000-0000680D0000}"/>
    <cellStyle name="Normal 49" xfId="3368" xr:uid="{00000000-0005-0000-0000-0000690D0000}"/>
    <cellStyle name="Normal 5" xfId="3369" xr:uid="{00000000-0005-0000-0000-00006A0D0000}"/>
    <cellStyle name="Normal 5 2" xfId="3370" xr:uid="{00000000-0005-0000-0000-00006B0D0000}"/>
    <cellStyle name="Normal 5 3" xfId="3371" xr:uid="{00000000-0005-0000-0000-00006C0D0000}"/>
    <cellStyle name="Normal 5 4" xfId="3372" xr:uid="{00000000-0005-0000-0000-00006D0D0000}"/>
    <cellStyle name="Normal 5 5" xfId="3373" xr:uid="{00000000-0005-0000-0000-00006E0D0000}"/>
    <cellStyle name="Normal 5 6" xfId="3374" xr:uid="{00000000-0005-0000-0000-00006F0D0000}"/>
    <cellStyle name="Normal 5 7" xfId="3375" xr:uid="{00000000-0005-0000-0000-0000700D0000}"/>
    <cellStyle name="Normal 5 8" xfId="3376" xr:uid="{00000000-0005-0000-0000-0000710D0000}"/>
    <cellStyle name="Normal 5_Financial Statements - Mgmt TPG Rolling 12 Months 06-30-08 - Updated 09 02 08" xfId="3377" xr:uid="{00000000-0005-0000-0000-0000720D0000}"/>
    <cellStyle name="Normal 50" xfId="3378" xr:uid="{00000000-0005-0000-0000-0000730D0000}"/>
    <cellStyle name="Normal 51" xfId="3379" xr:uid="{00000000-0005-0000-0000-0000740D0000}"/>
    <cellStyle name="Normal 52" xfId="3380" xr:uid="{00000000-0005-0000-0000-0000750D0000}"/>
    <cellStyle name="Normal 53" xfId="3381" xr:uid="{00000000-0005-0000-0000-0000760D0000}"/>
    <cellStyle name="Normal 54" xfId="3382" xr:uid="{00000000-0005-0000-0000-0000770D0000}"/>
    <cellStyle name="Normal 55" xfId="3383" xr:uid="{00000000-0005-0000-0000-0000780D0000}"/>
    <cellStyle name="Normal 56" xfId="3384" xr:uid="{00000000-0005-0000-0000-0000790D0000}"/>
    <cellStyle name="Normal 57" xfId="3385" xr:uid="{00000000-0005-0000-0000-00007A0D0000}"/>
    <cellStyle name="Normal 58" xfId="3386" xr:uid="{00000000-0005-0000-0000-00007B0D0000}"/>
    <cellStyle name="Normal 59" xfId="3387" xr:uid="{00000000-0005-0000-0000-00007C0D0000}"/>
    <cellStyle name="Normal 6" xfId="3388" xr:uid="{00000000-0005-0000-0000-00007D0D0000}"/>
    <cellStyle name="Normal 60" xfId="3389" xr:uid="{00000000-0005-0000-0000-00007E0D0000}"/>
    <cellStyle name="Normal 61" xfId="3390" xr:uid="{00000000-0005-0000-0000-00007F0D0000}"/>
    <cellStyle name="Normal 62" xfId="3391" xr:uid="{00000000-0005-0000-0000-0000800D0000}"/>
    <cellStyle name="Normal 63" xfId="3392" xr:uid="{00000000-0005-0000-0000-0000810D0000}"/>
    <cellStyle name="Normal 64" xfId="3393" xr:uid="{00000000-0005-0000-0000-0000820D0000}"/>
    <cellStyle name="Normal 65" xfId="3394" xr:uid="{00000000-0005-0000-0000-0000830D0000}"/>
    <cellStyle name="Normal 66" xfId="3395" xr:uid="{00000000-0005-0000-0000-0000840D0000}"/>
    <cellStyle name="Normal 67" xfId="3396" xr:uid="{00000000-0005-0000-0000-0000850D0000}"/>
    <cellStyle name="Normal 68" xfId="3397" xr:uid="{00000000-0005-0000-0000-0000860D0000}"/>
    <cellStyle name="Normal 69" xfId="3398" xr:uid="{00000000-0005-0000-0000-0000870D0000}"/>
    <cellStyle name="Normal 7" xfId="3399" xr:uid="{00000000-0005-0000-0000-0000880D0000}"/>
    <cellStyle name="Normal 70" xfId="3400" xr:uid="{00000000-0005-0000-0000-0000890D0000}"/>
    <cellStyle name="Normal 71" xfId="3401" xr:uid="{00000000-0005-0000-0000-00008A0D0000}"/>
    <cellStyle name="Normal 71 2" xfId="3402" xr:uid="{00000000-0005-0000-0000-00008B0D0000}"/>
    <cellStyle name="Normal 71 3" xfId="3403" xr:uid="{00000000-0005-0000-0000-00008C0D0000}"/>
    <cellStyle name="Normal 71 4" xfId="3404" xr:uid="{00000000-0005-0000-0000-00008D0D0000}"/>
    <cellStyle name="Normal 71 5" xfId="3405" xr:uid="{00000000-0005-0000-0000-00008E0D0000}"/>
    <cellStyle name="Normal 71 6" xfId="3406" xr:uid="{00000000-0005-0000-0000-00008F0D0000}"/>
    <cellStyle name="Normal 71 7" xfId="3407" xr:uid="{00000000-0005-0000-0000-0000900D0000}"/>
    <cellStyle name="Normal 71_Financial Statements - Mgmt (12-31-08) (2)" xfId="3408" xr:uid="{00000000-0005-0000-0000-0000910D0000}"/>
    <cellStyle name="Normal 72" xfId="3409" xr:uid="{00000000-0005-0000-0000-0000920D0000}"/>
    <cellStyle name="Normal 73" xfId="3410" xr:uid="{00000000-0005-0000-0000-0000930D0000}"/>
    <cellStyle name="Normal 74" xfId="3411" xr:uid="{00000000-0005-0000-0000-0000940D0000}"/>
    <cellStyle name="Normal 75" xfId="3412" xr:uid="{00000000-0005-0000-0000-0000950D0000}"/>
    <cellStyle name="Normal 76" xfId="3413" xr:uid="{00000000-0005-0000-0000-0000960D0000}"/>
    <cellStyle name="Normal 77" xfId="3414" xr:uid="{00000000-0005-0000-0000-0000970D0000}"/>
    <cellStyle name="Normal 77 2" xfId="3415" xr:uid="{00000000-0005-0000-0000-0000980D0000}"/>
    <cellStyle name="Normal 77 3" xfId="3416" xr:uid="{00000000-0005-0000-0000-0000990D0000}"/>
    <cellStyle name="Normal 77 4" xfId="3417" xr:uid="{00000000-0005-0000-0000-00009A0D0000}"/>
    <cellStyle name="Normal 77 5" xfId="3418" xr:uid="{00000000-0005-0000-0000-00009B0D0000}"/>
    <cellStyle name="Normal 77 6" xfId="3419" xr:uid="{00000000-0005-0000-0000-00009C0D0000}"/>
    <cellStyle name="Normal 77 7" xfId="3420" xr:uid="{00000000-0005-0000-0000-00009D0D0000}"/>
    <cellStyle name="Normal 78" xfId="3421" xr:uid="{00000000-0005-0000-0000-00009E0D0000}"/>
    <cellStyle name="Normal 78 2" xfId="3422" xr:uid="{00000000-0005-0000-0000-00009F0D0000}"/>
    <cellStyle name="Normal 78 3" xfId="3423" xr:uid="{00000000-0005-0000-0000-0000A00D0000}"/>
    <cellStyle name="Normal 78 4" xfId="3424" xr:uid="{00000000-0005-0000-0000-0000A10D0000}"/>
    <cellStyle name="Normal 78 5" xfId="3425" xr:uid="{00000000-0005-0000-0000-0000A20D0000}"/>
    <cellStyle name="Normal 78 6" xfId="3426" xr:uid="{00000000-0005-0000-0000-0000A30D0000}"/>
    <cellStyle name="Normal 78 6 2" xfId="3427" xr:uid="{00000000-0005-0000-0000-0000A40D0000}"/>
    <cellStyle name="Normal 78 7" xfId="3428" xr:uid="{00000000-0005-0000-0000-0000A50D0000}"/>
    <cellStyle name="Normal 78_Financial Statements - Mgmt (12-31-08) (2)" xfId="3429" xr:uid="{00000000-0005-0000-0000-0000A60D0000}"/>
    <cellStyle name="Normal 79" xfId="3430" xr:uid="{00000000-0005-0000-0000-0000A70D0000}"/>
    <cellStyle name="Normal 79 2" xfId="3431" xr:uid="{00000000-0005-0000-0000-0000A80D0000}"/>
    <cellStyle name="Normal 79 3" xfId="3432" xr:uid="{00000000-0005-0000-0000-0000A90D0000}"/>
    <cellStyle name="Normal 8" xfId="3433" xr:uid="{00000000-0005-0000-0000-0000AA0D0000}"/>
    <cellStyle name="Normal 80" xfId="3434" xr:uid="{00000000-0005-0000-0000-0000AB0D0000}"/>
    <cellStyle name="Normal 81" xfId="3435" xr:uid="{00000000-0005-0000-0000-0000AC0D0000}"/>
    <cellStyle name="Normal 82" xfId="3436" xr:uid="{00000000-0005-0000-0000-0000AD0D0000}"/>
    <cellStyle name="Normal 83" xfId="3437" xr:uid="{00000000-0005-0000-0000-0000AE0D0000}"/>
    <cellStyle name="Normal 84" xfId="3438" xr:uid="{00000000-0005-0000-0000-0000AF0D0000}"/>
    <cellStyle name="Normal 85" xfId="3439" xr:uid="{00000000-0005-0000-0000-0000B00D0000}"/>
    <cellStyle name="Normal 86" xfId="3440" xr:uid="{00000000-0005-0000-0000-0000B10D0000}"/>
    <cellStyle name="Normal 87" xfId="3441" xr:uid="{00000000-0005-0000-0000-0000B20D0000}"/>
    <cellStyle name="Normal 88" xfId="3442" xr:uid="{00000000-0005-0000-0000-0000B30D0000}"/>
    <cellStyle name="Normal 89" xfId="3443" xr:uid="{00000000-0005-0000-0000-0000B40D0000}"/>
    <cellStyle name="Normal 9" xfId="3444" xr:uid="{00000000-0005-0000-0000-0000B50D0000}"/>
    <cellStyle name="Normal 9 2" xfId="3445" xr:uid="{00000000-0005-0000-0000-0000B60D0000}"/>
    <cellStyle name="Normal 9 2 2" xfId="3446" xr:uid="{00000000-0005-0000-0000-0000B70D0000}"/>
    <cellStyle name="Normal 9 3" xfId="3447" xr:uid="{00000000-0005-0000-0000-0000B80D0000}"/>
    <cellStyle name="Normal 9 4" xfId="3448" xr:uid="{00000000-0005-0000-0000-0000B90D0000}"/>
    <cellStyle name="Normal 9 5" xfId="3449" xr:uid="{00000000-0005-0000-0000-0000BA0D0000}"/>
    <cellStyle name="Normal 9 6" xfId="3450" xr:uid="{00000000-0005-0000-0000-0000BB0D0000}"/>
    <cellStyle name="Normal 9 7" xfId="3451" xr:uid="{00000000-0005-0000-0000-0000BC0D0000}"/>
    <cellStyle name="Normal 9_Financial Statements - Mgmt (12-31-08) (2)" xfId="3452" xr:uid="{00000000-0005-0000-0000-0000BD0D0000}"/>
    <cellStyle name="Normal 90" xfId="3453" xr:uid="{00000000-0005-0000-0000-0000BE0D0000}"/>
    <cellStyle name="Normal 91" xfId="3454" xr:uid="{00000000-0005-0000-0000-0000BF0D0000}"/>
    <cellStyle name="Normal 92" xfId="3455" xr:uid="{00000000-0005-0000-0000-0000C00D0000}"/>
    <cellStyle name="Normal 93" xfId="3456" xr:uid="{00000000-0005-0000-0000-0000C10D0000}"/>
    <cellStyle name="Normal 94" xfId="3457" xr:uid="{00000000-0005-0000-0000-0000C20D0000}"/>
    <cellStyle name="Normal 95" xfId="3458" xr:uid="{00000000-0005-0000-0000-0000C30D0000}"/>
    <cellStyle name="Normal 96" xfId="3459" xr:uid="{00000000-0005-0000-0000-0000C40D0000}"/>
    <cellStyle name="Normal 97" xfId="3460" xr:uid="{00000000-0005-0000-0000-0000C50D0000}"/>
    <cellStyle name="Normal 98" xfId="3461" xr:uid="{00000000-0005-0000-0000-0000C60D0000}"/>
    <cellStyle name="Normal 99" xfId="3462" xr:uid="{00000000-0005-0000-0000-0000C70D0000}"/>
    <cellStyle name="Normal Bold" xfId="3463" xr:uid="{00000000-0005-0000-0000-0000C80D0000}"/>
    <cellStyle name="Normal millions" xfId="3464" xr:uid="{00000000-0005-0000-0000-0000C90D0000}"/>
    <cellStyle name="Normal no decimal" xfId="3465" xr:uid="{00000000-0005-0000-0000-0000CA0D0000}"/>
    <cellStyle name="Normal thousands" xfId="3466" xr:uid="{00000000-0005-0000-0000-0000CB0D0000}"/>
    <cellStyle name="Normal two decimals" xfId="3467" xr:uid="{00000000-0005-0000-0000-0000CC0D0000}"/>
    <cellStyle name="Normal-%-1" xfId="3468" xr:uid="{00000000-0005-0000-0000-0000CD0D0000}"/>
    <cellStyle name="Normal99.885" xfId="3469" xr:uid="{00000000-0005-0000-0000-0000CE0D0000}"/>
    <cellStyle name="NormalBold" xfId="3470" xr:uid="{00000000-0005-0000-0000-0000CF0D0000}"/>
    <cellStyle name="Normale_A" xfId="3471" xr:uid="{00000000-0005-0000-0000-0000D00D0000}"/>
    <cellStyle name="NormalGB" xfId="3472" xr:uid="{00000000-0005-0000-0000-0000D10D0000}"/>
    <cellStyle name="Normal-HelBold" xfId="3473" xr:uid="{00000000-0005-0000-0000-0000D20D0000}"/>
    <cellStyle name="Normal-HelUnderline" xfId="3474" xr:uid="{00000000-0005-0000-0000-0000D30D0000}"/>
    <cellStyle name="NormalHelv" xfId="3475" xr:uid="{00000000-0005-0000-0000-0000D40D0000}"/>
    <cellStyle name="Normal-Helvetica" xfId="3476" xr:uid="{00000000-0005-0000-0000-0000D50D0000}"/>
    <cellStyle name="NormalItalic" xfId="3477" xr:uid="{00000000-0005-0000-0000-0000D60D0000}"/>
    <cellStyle name="normální_List1" xfId="3478" xr:uid="{00000000-0005-0000-0000-0000D70D0000}"/>
    <cellStyle name="Normalny_56.Podstawowe dane o woj.(1)" xfId="3479" xr:uid="{00000000-0005-0000-0000-0000D80D0000}"/>
    <cellStyle name="Not" xfId="3480" xr:uid="{00000000-0005-0000-0000-0000D90D0000}"/>
    <cellStyle name="Note 10" xfId="3481" xr:uid="{00000000-0005-0000-0000-0000DA0D0000}"/>
    <cellStyle name="Note 10 2" xfId="3482" xr:uid="{00000000-0005-0000-0000-0000DB0D0000}"/>
    <cellStyle name="Note 10 3" xfId="3483" xr:uid="{00000000-0005-0000-0000-0000DC0D0000}"/>
    <cellStyle name="Note 11" xfId="3484" xr:uid="{00000000-0005-0000-0000-0000DD0D0000}"/>
    <cellStyle name="Note 11 2" xfId="3485" xr:uid="{00000000-0005-0000-0000-0000DE0D0000}"/>
    <cellStyle name="Note 11 3" xfId="3486" xr:uid="{00000000-0005-0000-0000-0000DF0D0000}"/>
    <cellStyle name="Note 12" xfId="3487" xr:uid="{00000000-0005-0000-0000-0000E00D0000}"/>
    <cellStyle name="Note 12 2" xfId="3488" xr:uid="{00000000-0005-0000-0000-0000E10D0000}"/>
    <cellStyle name="Note 12 3" xfId="3489" xr:uid="{00000000-0005-0000-0000-0000E20D0000}"/>
    <cellStyle name="Note 13" xfId="3490" xr:uid="{00000000-0005-0000-0000-0000E30D0000}"/>
    <cellStyle name="Note 13 2" xfId="3491" xr:uid="{00000000-0005-0000-0000-0000E40D0000}"/>
    <cellStyle name="Note 13 3" xfId="3492" xr:uid="{00000000-0005-0000-0000-0000E50D0000}"/>
    <cellStyle name="Note 14" xfId="3493" xr:uid="{00000000-0005-0000-0000-0000E60D0000}"/>
    <cellStyle name="Note 14 2" xfId="3494" xr:uid="{00000000-0005-0000-0000-0000E70D0000}"/>
    <cellStyle name="Note 14 3" xfId="3495" xr:uid="{00000000-0005-0000-0000-0000E80D0000}"/>
    <cellStyle name="Note 15" xfId="3496" xr:uid="{00000000-0005-0000-0000-0000E90D0000}"/>
    <cellStyle name="Note 15 2" xfId="3497" xr:uid="{00000000-0005-0000-0000-0000EA0D0000}"/>
    <cellStyle name="Note 15 3" xfId="3498" xr:uid="{00000000-0005-0000-0000-0000EB0D0000}"/>
    <cellStyle name="Note 16" xfId="3499" xr:uid="{00000000-0005-0000-0000-0000EC0D0000}"/>
    <cellStyle name="Note 16 2" xfId="3500" xr:uid="{00000000-0005-0000-0000-0000ED0D0000}"/>
    <cellStyle name="Note 16 3" xfId="3501" xr:uid="{00000000-0005-0000-0000-0000EE0D0000}"/>
    <cellStyle name="Note 17" xfId="3502" xr:uid="{00000000-0005-0000-0000-0000EF0D0000}"/>
    <cellStyle name="Note 17 2" xfId="3503" xr:uid="{00000000-0005-0000-0000-0000F00D0000}"/>
    <cellStyle name="Note 17 3" xfId="3504" xr:uid="{00000000-0005-0000-0000-0000F10D0000}"/>
    <cellStyle name="Note 18" xfId="3505" xr:uid="{00000000-0005-0000-0000-0000F20D0000}"/>
    <cellStyle name="Note 18 2" xfId="3506" xr:uid="{00000000-0005-0000-0000-0000F30D0000}"/>
    <cellStyle name="Note 18 3" xfId="3507" xr:uid="{00000000-0005-0000-0000-0000F40D0000}"/>
    <cellStyle name="Note 19" xfId="3508" xr:uid="{00000000-0005-0000-0000-0000F50D0000}"/>
    <cellStyle name="Note 19 2" xfId="3509" xr:uid="{00000000-0005-0000-0000-0000F60D0000}"/>
    <cellStyle name="Note 19 3" xfId="3510" xr:uid="{00000000-0005-0000-0000-0000F70D0000}"/>
    <cellStyle name="Note 2" xfId="3511" xr:uid="{00000000-0005-0000-0000-0000F80D0000}"/>
    <cellStyle name="Note 2 2" xfId="3512" xr:uid="{00000000-0005-0000-0000-0000F90D0000}"/>
    <cellStyle name="Note 2 3" xfId="3513" xr:uid="{00000000-0005-0000-0000-0000FA0D0000}"/>
    <cellStyle name="Note 20" xfId="3514" xr:uid="{00000000-0005-0000-0000-0000FB0D0000}"/>
    <cellStyle name="Note 20 2" xfId="3515" xr:uid="{00000000-0005-0000-0000-0000FC0D0000}"/>
    <cellStyle name="Note 20 3" xfId="3516" xr:uid="{00000000-0005-0000-0000-0000FD0D0000}"/>
    <cellStyle name="Note 21" xfId="3517" xr:uid="{00000000-0005-0000-0000-0000FE0D0000}"/>
    <cellStyle name="Note 21 2" xfId="3518" xr:uid="{00000000-0005-0000-0000-0000FF0D0000}"/>
    <cellStyle name="Note 21 3" xfId="3519" xr:uid="{00000000-0005-0000-0000-0000000E0000}"/>
    <cellStyle name="Note 22" xfId="3520" xr:uid="{00000000-0005-0000-0000-0000010E0000}"/>
    <cellStyle name="Note 22 2" xfId="3521" xr:uid="{00000000-0005-0000-0000-0000020E0000}"/>
    <cellStyle name="Note 22 3" xfId="3522" xr:uid="{00000000-0005-0000-0000-0000030E0000}"/>
    <cellStyle name="Note 23" xfId="3523" xr:uid="{00000000-0005-0000-0000-0000040E0000}"/>
    <cellStyle name="Note 23 2" xfId="3524" xr:uid="{00000000-0005-0000-0000-0000050E0000}"/>
    <cellStyle name="Note 23 3" xfId="3525" xr:uid="{00000000-0005-0000-0000-0000060E0000}"/>
    <cellStyle name="Note 24" xfId="3526" xr:uid="{00000000-0005-0000-0000-0000070E0000}"/>
    <cellStyle name="Note 24 2" xfId="3527" xr:uid="{00000000-0005-0000-0000-0000080E0000}"/>
    <cellStyle name="Note 24 3" xfId="3528" xr:uid="{00000000-0005-0000-0000-0000090E0000}"/>
    <cellStyle name="Note 25" xfId="3529" xr:uid="{00000000-0005-0000-0000-00000A0E0000}"/>
    <cellStyle name="Note 25 2" xfId="3530" xr:uid="{00000000-0005-0000-0000-00000B0E0000}"/>
    <cellStyle name="Note 25 3" xfId="3531" xr:uid="{00000000-0005-0000-0000-00000C0E0000}"/>
    <cellStyle name="Note 26" xfId="3532" xr:uid="{00000000-0005-0000-0000-00000D0E0000}"/>
    <cellStyle name="Note 26 2" xfId="3533" xr:uid="{00000000-0005-0000-0000-00000E0E0000}"/>
    <cellStyle name="Note 26 3" xfId="3534" xr:uid="{00000000-0005-0000-0000-00000F0E0000}"/>
    <cellStyle name="Note 27" xfId="3535" xr:uid="{00000000-0005-0000-0000-0000100E0000}"/>
    <cellStyle name="Note 27 2" xfId="3536" xr:uid="{00000000-0005-0000-0000-0000110E0000}"/>
    <cellStyle name="Note 27 3" xfId="3537" xr:uid="{00000000-0005-0000-0000-0000120E0000}"/>
    <cellStyle name="Note 28" xfId="3538" xr:uid="{00000000-0005-0000-0000-0000130E0000}"/>
    <cellStyle name="Note 28 2" xfId="3539" xr:uid="{00000000-0005-0000-0000-0000140E0000}"/>
    <cellStyle name="Note 28 3" xfId="3540" xr:uid="{00000000-0005-0000-0000-0000150E0000}"/>
    <cellStyle name="Note 29" xfId="3541" xr:uid="{00000000-0005-0000-0000-0000160E0000}"/>
    <cellStyle name="Note 29 2" xfId="3542" xr:uid="{00000000-0005-0000-0000-0000170E0000}"/>
    <cellStyle name="Note 29 3" xfId="3543" xr:uid="{00000000-0005-0000-0000-0000180E0000}"/>
    <cellStyle name="Note 3" xfId="3544" xr:uid="{00000000-0005-0000-0000-0000190E0000}"/>
    <cellStyle name="Note 3 2" xfId="3545" xr:uid="{00000000-0005-0000-0000-00001A0E0000}"/>
    <cellStyle name="Note 3 3" xfId="3546" xr:uid="{00000000-0005-0000-0000-00001B0E0000}"/>
    <cellStyle name="Note 30" xfId="3547" xr:uid="{00000000-0005-0000-0000-00001C0E0000}"/>
    <cellStyle name="Note 30 2" xfId="3548" xr:uid="{00000000-0005-0000-0000-00001D0E0000}"/>
    <cellStyle name="Note 30 3" xfId="3549" xr:uid="{00000000-0005-0000-0000-00001E0E0000}"/>
    <cellStyle name="Note 31" xfId="3550" xr:uid="{00000000-0005-0000-0000-00001F0E0000}"/>
    <cellStyle name="Note 31 2" xfId="3551" xr:uid="{00000000-0005-0000-0000-0000200E0000}"/>
    <cellStyle name="Note 31 3" xfId="3552" xr:uid="{00000000-0005-0000-0000-0000210E0000}"/>
    <cellStyle name="Note 32" xfId="3553" xr:uid="{00000000-0005-0000-0000-0000220E0000}"/>
    <cellStyle name="Note 32 2" xfId="3554" xr:uid="{00000000-0005-0000-0000-0000230E0000}"/>
    <cellStyle name="Note 32 3" xfId="3555" xr:uid="{00000000-0005-0000-0000-0000240E0000}"/>
    <cellStyle name="Note 33" xfId="3556" xr:uid="{00000000-0005-0000-0000-0000250E0000}"/>
    <cellStyle name="Note 33 2" xfId="3557" xr:uid="{00000000-0005-0000-0000-0000260E0000}"/>
    <cellStyle name="Note 33 3" xfId="3558" xr:uid="{00000000-0005-0000-0000-0000270E0000}"/>
    <cellStyle name="Note 34" xfId="3559" xr:uid="{00000000-0005-0000-0000-0000280E0000}"/>
    <cellStyle name="Note 34 2" xfId="3560" xr:uid="{00000000-0005-0000-0000-0000290E0000}"/>
    <cellStyle name="Note 34 3" xfId="3561" xr:uid="{00000000-0005-0000-0000-00002A0E0000}"/>
    <cellStyle name="Note 35" xfId="3562" xr:uid="{00000000-0005-0000-0000-00002B0E0000}"/>
    <cellStyle name="Note 35 2" xfId="3563" xr:uid="{00000000-0005-0000-0000-00002C0E0000}"/>
    <cellStyle name="Note 35 3" xfId="3564" xr:uid="{00000000-0005-0000-0000-00002D0E0000}"/>
    <cellStyle name="Note 36" xfId="3565" xr:uid="{00000000-0005-0000-0000-00002E0E0000}"/>
    <cellStyle name="Note 36 2" xfId="3566" xr:uid="{00000000-0005-0000-0000-00002F0E0000}"/>
    <cellStyle name="Note 36 3" xfId="3567" xr:uid="{00000000-0005-0000-0000-0000300E0000}"/>
    <cellStyle name="Note 37" xfId="3568" xr:uid="{00000000-0005-0000-0000-0000310E0000}"/>
    <cellStyle name="Note 37 2" xfId="3569" xr:uid="{00000000-0005-0000-0000-0000320E0000}"/>
    <cellStyle name="Note 37 3" xfId="3570" xr:uid="{00000000-0005-0000-0000-0000330E0000}"/>
    <cellStyle name="Note 38" xfId="3571" xr:uid="{00000000-0005-0000-0000-0000340E0000}"/>
    <cellStyle name="Note 38 2" xfId="3572" xr:uid="{00000000-0005-0000-0000-0000350E0000}"/>
    <cellStyle name="Note 38 3" xfId="3573" xr:uid="{00000000-0005-0000-0000-0000360E0000}"/>
    <cellStyle name="Note 39" xfId="3574" xr:uid="{00000000-0005-0000-0000-0000370E0000}"/>
    <cellStyle name="Note 39 2" xfId="3575" xr:uid="{00000000-0005-0000-0000-0000380E0000}"/>
    <cellStyle name="Note 39 3" xfId="3576" xr:uid="{00000000-0005-0000-0000-0000390E0000}"/>
    <cellStyle name="Note 4" xfId="3577" xr:uid="{00000000-0005-0000-0000-00003A0E0000}"/>
    <cellStyle name="Note 4 2" xfId="3578" xr:uid="{00000000-0005-0000-0000-00003B0E0000}"/>
    <cellStyle name="Note 4 3" xfId="3579" xr:uid="{00000000-0005-0000-0000-00003C0E0000}"/>
    <cellStyle name="Note 40" xfId="3580" xr:uid="{00000000-0005-0000-0000-00003D0E0000}"/>
    <cellStyle name="Note 40 2" xfId="3581" xr:uid="{00000000-0005-0000-0000-00003E0E0000}"/>
    <cellStyle name="Note 40 3" xfId="3582" xr:uid="{00000000-0005-0000-0000-00003F0E0000}"/>
    <cellStyle name="Note 41" xfId="3583" xr:uid="{00000000-0005-0000-0000-0000400E0000}"/>
    <cellStyle name="Note 41 2" xfId="3584" xr:uid="{00000000-0005-0000-0000-0000410E0000}"/>
    <cellStyle name="Note 41 3" xfId="3585" xr:uid="{00000000-0005-0000-0000-0000420E0000}"/>
    <cellStyle name="Note 42" xfId="3586" xr:uid="{00000000-0005-0000-0000-0000430E0000}"/>
    <cellStyle name="Note 42 2" xfId="3587" xr:uid="{00000000-0005-0000-0000-0000440E0000}"/>
    <cellStyle name="Note 42 3" xfId="3588" xr:uid="{00000000-0005-0000-0000-0000450E0000}"/>
    <cellStyle name="Note 43" xfId="3589" xr:uid="{00000000-0005-0000-0000-0000460E0000}"/>
    <cellStyle name="Note 43 2" xfId="3590" xr:uid="{00000000-0005-0000-0000-0000470E0000}"/>
    <cellStyle name="Note 43 3" xfId="3591" xr:uid="{00000000-0005-0000-0000-0000480E0000}"/>
    <cellStyle name="Note 44" xfId="3592" xr:uid="{00000000-0005-0000-0000-0000490E0000}"/>
    <cellStyle name="Note 44 2" xfId="3593" xr:uid="{00000000-0005-0000-0000-00004A0E0000}"/>
    <cellStyle name="Note 44 3" xfId="3594" xr:uid="{00000000-0005-0000-0000-00004B0E0000}"/>
    <cellStyle name="Note 45" xfId="3595" xr:uid="{00000000-0005-0000-0000-00004C0E0000}"/>
    <cellStyle name="Note 45 2" xfId="3596" xr:uid="{00000000-0005-0000-0000-00004D0E0000}"/>
    <cellStyle name="Note 45 3" xfId="3597" xr:uid="{00000000-0005-0000-0000-00004E0E0000}"/>
    <cellStyle name="Note 46" xfId="3598" xr:uid="{00000000-0005-0000-0000-00004F0E0000}"/>
    <cellStyle name="Note 46 2" xfId="3599" xr:uid="{00000000-0005-0000-0000-0000500E0000}"/>
    <cellStyle name="Note 46 3" xfId="3600" xr:uid="{00000000-0005-0000-0000-0000510E0000}"/>
    <cellStyle name="Note 47" xfId="3601" xr:uid="{00000000-0005-0000-0000-0000520E0000}"/>
    <cellStyle name="Note 47 2" xfId="3602" xr:uid="{00000000-0005-0000-0000-0000530E0000}"/>
    <cellStyle name="Note 47 3" xfId="3603" xr:uid="{00000000-0005-0000-0000-0000540E0000}"/>
    <cellStyle name="Note 48" xfId="3604" xr:uid="{00000000-0005-0000-0000-0000550E0000}"/>
    <cellStyle name="Note 48 2" xfId="3605" xr:uid="{00000000-0005-0000-0000-0000560E0000}"/>
    <cellStyle name="Note 48 3" xfId="3606" xr:uid="{00000000-0005-0000-0000-0000570E0000}"/>
    <cellStyle name="Note 49" xfId="3607" xr:uid="{00000000-0005-0000-0000-0000580E0000}"/>
    <cellStyle name="Note 49 2" xfId="3608" xr:uid="{00000000-0005-0000-0000-0000590E0000}"/>
    <cellStyle name="Note 49 3" xfId="3609" xr:uid="{00000000-0005-0000-0000-00005A0E0000}"/>
    <cellStyle name="Note 5" xfId="3610" xr:uid="{00000000-0005-0000-0000-00005B0E0000}"/>
    <cellStyle name="Note 5 2" xfId="3611" xr:uid="{00000000-0005-0000-0000-00005C0E0000}"/>
    <cellStyle name="Note 5 3" xfId="3612" xr:uid="{00000000-0005-0000-0000-00005D0E0000}"/>
    <cellStyle name="Note 50" xfId="3613" xr:uid="{00000000-0005-0000-0000-00005E0E0000}"/>
    <cellStyle name="Note 50 2" xfId="3614" xr:uid="{00000000-0005-0000-0000-00005F0E0000}"/>
    <cellStyle name="Note 50 3" xfId="3615" xr:uid="{00000000-0005-0000-0000-0000600E0000}"/>
    <cellStyle name="Note 51" xfId="3616" xr:uid="{00000000-0005-0000-0000-0000610E0000}"/>
    <cellStyle name="Note 51 2" xfId="3617" xr:uid="{00000000-0005-0000-0000-0000620E0000}"/>
    <cellStyle name="Note 51 3" xfId="3618" xr:uid="{00000000-0005-0000-0000-0000630E0000}"/>
    <cellStyle name="Note 52" xfId="3619" xr:uid="{00000000-0005-0000-0000-0000640E0000}"/>
    <cellStyle name="Note 52 2" xfId="3620" xr:uid="{00000000-0005-0000-0000-0000650E0000}"/>
    <cellStyle name="Note 52 3" xfId="3621" xr:uid="{00000000-0005-0000-0000-0000660E0000}"/>
    <cellStyle name="Note 53" xfId="3622" xr:uid="{00000000-0005-0000-0000-0000670E0000}"/>
    <cellStyle name="Note 53 2" xfId="3623" xr:uid="{00000000-0005-0000-0000-0000680E0000}"/>
    <cellStyle name="Note 53 3" xfId="3624" xr:uid="{00000000-0005-0000-0000-0000690E0000}"/>
    <cellStyle name="Note 54" xfId="3625" xr:uid="{00000000-0005-0000-0000-00006A0E0000}"/>
    <cellStyle name="Note 54 2" xfId="3626" xr:uid="{00000000-0005-0000-0000-00006B0E0000}"/>
    <cellStyle name="Note 54 3" xfId="3627" xr:uid="{00000000-0005-0000-0000-00006C0E0000}"/>
    <cellStyle name="Note 55" xfId="3628" xr:uid="{00000000-0005-0000-0000-00006D0E0000}"/>
    <cellStyle name="Note 55 2" xfId="3629" xr:uid="{00000000-0005-0000-0000-00006E0E0000}"/>
    <cellStyle name="Note 55 3" xfId="3630" xr:uid="{00000000-0005-0000-0000-00006F0E0000}"/>
    <cellStyle name="Note 56" xfId="3631" xr:uid="{00000000-0005-0000-0000-0000700E0000}"/>
    <cellStyle name="Note 56 2" xfId="3632" xr:uid="{00000000-0005-0000-0000-0000710E0000}"/>
    <cellStyle name="Note 56 3" xfId="3633" xr:uid="{00000000-0005-0000-0000-0000720E0000}"/>
    <cellStyle name="Note 57" xfId="3634" xr:uid="{00000000-0005-0000-0000-0000730E0000}"/>
    <cellStyle name="Note 57 2" xfId="3635" xr:uid="{00000000-0005-0000-0000-0000740E0000}"/>
    <cellStyle name="Note 57 3" xfId="3636" xr:uid="{00000000-0005-0000-0000-0000750E0000}"/>
    <cellStyle name="Note 58" xfId="3637" xr:uid="{00000000-0005-0000-0000-0000760E0000}"/>
    <cellStyle name="Note 58 2" xfId="3638" xr:uid="{00000000-0005-0000-0000-0000770E0000}"/>
    <cellStyle name="Note 58 3" xfId="3639" xr:uid="{00000000-0005-0000-0000-0000780E0000}"/>
    <cellStyle name="Note 59" xfId="3640" xr:uid="{00000000-0005-0000-0000-0000790E0000}"/>
    <cellStyle name="Note 59 2" xfId="3641" xr:uid="{00000000-0005-0000-0000-00007A0E0000}"/>
    <cellStyle name="Note 59 3" xfId="3642" xr:uid="{00000000-0005-0000-0000-00007B0E0000}"/>
    <cellStyle name="Note 6" xfId="3643" xr:uid="{00000000-0005-0000-0000-00007C0E0000}"/>
    <cellStyle name="Note 6 2" xfId="3644" xr:uid="{00000000-0005-0000-0000-00007D0E0000}"/>
    <cellStyle name="Note 6 3" xfId="3645" xr:uid="{00000000-0005-0000-0000-00007E0E0000}"/>
    <cellStyle name="Note 60" xfId="3646" xr:uid="{00000000-0005-0000-0000-00007F0E0000}"/>
    <cellStyle name="Note 60 2" xfId="3647" xr:uid="{00000000-0005-0000-0000-0000800E0000}"/>
    <cellStyle name="Note 60 3" xfId="3648" xr:uid="{00000000-0005-0000-0000-0000810E0000}"/>
    <cellStyle name="Note 61" xfId="3649" xr:uid="{00000000-0005-0000-0000-0000820E0000}"/>
    <cellStyle name="Note 61 2" xfId="3650" xr:uid="{00000000-0005-0000-0000-0000830E0000}"/>
    <cellStyle name="Note 61 3" xfId="3651" xr:uid="{00000000-0005-0000-0000-0000840E0000}"/>
    <cellStyle name="Note 62" xfId="3652" xr:uid="{00000000-0005-0000-0000-0000850E0000}"/>
    <cellStyle name="Note 62 2" xfId="3653" xr:uid="{00000000-0005-0000-0000-0000860E0000}"/>
    <cellStyle name="Note 62 3" xfId="3654" xr:uid="{00000000-0005-0000-0000-0000870E0000}"/>
    <cellStyle name="Note 63" xfId="3655" xr:uid="{00000000-0005-0000-0000-0000880E0000}"/>
    <cellStyle name="Note 63 2" xfId="3656" xr:uid="{00000000-0005-0000-0000-0000890E0000}"/>
    <cellStyle name="Note 63 3" xfId="3657" xr:uid="{00000000-0005-0000-0000-00008A0E0000}"/>
    <cellStyle name="Note 64" xfId="3658" xr:uid="{00000000-0005-0000-0000-00008B0E0000}"/>
    <cellStyle name="Note 64 2" xfId="3659" xr:uid="{00000000-0005-0000-0000-00008C0E0000}"/>
    <cellStyle name="Note 64 3" xfId="3660" xr:uid="{00000000-0005-0000-0000-00008D0E0000}"/>
    <cellStyle name="Note 65" xfId="3661" xr:uid="{00000000-0005-0000-0000-00008E0E0000}"/>
    <cellStyle name="Note 65 2" xfId="3662" xr:uid="{00000000-0005-0000-0000-00008F0E0000}"/>
    <cellStyle name="Note 65 3" xfId="3663" xr:uid="{00000000-0005-0000-0000-0000900E0000}"/>
    <cellStyle name="Note 66" xfId="3664" xr:uid="{00000000-0005-0000-0000-0000910E0000}"/>
    <cellStyle name="Note 66 2" xfId="3665" xr:uid="{00000000-0005-0000-0000-0000920E0000}"/>
    <cellStyle name="Note 66 3" xfId="3666" xr:uid="{00000000-0005-0000-0000-0000930E0000}"/>
    <cellStyle name="Note 67" xfId="3667" xr:uid="{00000000-0005-0000-0000-0000940E0000}"/>
    <cellStyle name="Note 67 2" xfId="3668" xr:uid="{00000000-0005-0000-0000-0000950E0000}"/>
    <cellStyle name="Note 67 3" xfId="3669" xr:uid="{00000000-0005-0000-0000-0000960E0000}"/>
    <cellStyle name="Note 68" xfId="3670" xr:uid="{00000000-0005-0000-0000-0000970E0000}"/>
    <cellStyle name="Note 68 2" xfId="3671" xr:uid="{00000000-0005-0000-0000-0000980E0000}"/>
    <cellStyle name="Note 68 3" xfId="3672" xr:uid="{00000000-0005-0000-0000-0000990E0000}"/>
    <cellStyle name="Note 69" xfId="3673" xr:uid="{00000000-0005-0000-0000-00009A0E0000}"/>
    <cellStyle name="Note 69 2" xfId="3674" xr:uid="{00000000-0005-0000-0000-00009B0E0000}"/>
    <cellStyle name="Note 69 3" xfId="3675" xr:uid="{00000000-0005-0000-0000-00009C0E0000}"/>
    <cellStyle name="Note 7" xfId="3676" xr:uid="{00000000-0005-0000-0000-00009D0E0000}"/>
    <cellStyle name="Note 7 2" xfId="3677" xr:uid="{00000000-0005-0000-0000-00009E0E0000}"/>
    <cellStyle name="Note 7 3" xfId="3678" xr:uid="{00000000-0005-0000-0000-00009F0E0000}"/>
    <cellStyle name="Note 70" xfId="3679" xr:uid="{00000000-0005-0000-0000-0000A00E0000}"/>
    <cellStyle name="Note 70 2" xfId="3680" xr:uid="{00000000-0005-0000-0000-0000A10E0000}"/>
    <cellStyle name="Note 70 3" xfId="3681" xr:uid="{00000000-0005-0000-0000-0000A20E0000}"/>
    <cellStyle name="Note 71" xfId="3682" xr:uid="{00000000-0005-0000-0000-0000A30E0000}"/>
    <cellStyle name="Note 71 2" xfId="3683" xr:uid="{00000000-0005-0000-0000-0000A40E0000}"/>
    <cellStyle name="Note 71 3" xfId="3684" xr:uid="{00000000-0005-0000-0000-0000A50E0000}"/>
    <cellStyle name="Note 72" xfId="3685" xr:uid="{00000000-0005-0000-0000-0000A60E0000}"/>
    <cellStyle name="Note 72 2" xfId="3686" xr:uid="{00000000-0005-0000-0000-0000A70E0000}"/>
    <cellStyle name="Note 72 3" xfId="3687" xr:uid="{00000000-0005-0000-0000-0000A80E0000}"/>
    <cellStyle name="Note 73" xfId="3688" xr:uid="{00000000-0005-0000-0000-0000A90E0000}"/>
    <cellStyle name="Note 73 2" xfId="3689" xr:uid="{00000000-0005-0000-0000-0000AA0E0000}"/>
    <cellStyle name="Note 73 3" xfId="3690" xr:uid="{00000000-0005-0000-0000-0000AB0E0000}"/>
    <cellStyle name="Note 74" xfId="3691" xr:uid="{00000000-0005-0000-0000-0000AC0E0000}"/>
    <cellStyle name="Note 74 2" xfId="3692" xr:uid="{00000000-0005-0000-0000-0000AD0E0000}"/>
    <cellStyle name="Note 74 3" xfId="3693" xr:uid="{00000000-0005-0000-0000-0000AE0E0000}"/>
    <cellStyle name="Note 75" xfId="3694" xr:uid="{00000000-0005-0000-0000-0000AF0E0000}"/>
    <cellStyle name="Note 75 2" xfId="3695" xr:uid="{00000000-0005-0000-0000-0000B00E0000}"/>
    <cellStyle name="Note 75 3" xfId="3696" xr:uid="{00000000-0005-0000-0000-0000B10E0000}"/>
    <cellStyle name="Note 76" xfId="3697" xr:uid="{00000000-0005-0000-0000-0000B20E0000}"/>
    <cellStyle name="Note 76 2" xfId="3698" xr:uid="{00000000-0005-0000-0000-0000B30E0000}"/>
    <cellStyle name="Note 76 3" xfId="3699" xr:uid="{00000000-0005-0000-0000-0000B40E0000}"/>
    <cellStyle name="Note 77" xfId="3700" xr:uid="{00000000-0005-0000-0000-0000B50E0000}"/>
    <cellStyle name="Note 77 2" xfId="3701" xr:uid="{00000000-0005-0000-0000-0000B60E0000}"/>
    <cellStyle name="Note 77 3" xfId="3702" xr:uid="{00000000-0005-0000-0000-0000B70E0000}"/>
    <cellStyle name="Note 78" xfId="3703" xr:uid="{00000000-0005-0000-0000-0000B80E0000}"/>
    <cellStyle name="Note 78 2" xfId="3704" xr:uid="{00000000-0005-0000-0000-0000B90E0000}"/>
    <cellStyle name="Note 78 3" xfId="3705" xr:uid="{00000000-0005-0000-0000-0000BA0E0000}"/>
    <cellStyle name="Note 79" xfId="3706" xr:uid="{00000000-0005-0000-0000-0000BB0E0000}"/>
    <cellStyle name="Note 79 2" xfId="3707" xr:uid="{00000000-0005-0000-0000-0000BC0E0000}"/>
    <cellStyle name="Note 79 3" xfId="3708" xr:uid="{00000000-0005-0000-0000-0000BD0E0000}"/>
    <cellStyle name="Note 8" xfId="3709" xr:uid="{00000000-0005-0000-0000-0000BE0E0000}"/>
    <cellStyle name="Note 8 2" xfId="3710" xr:uid="{00000000-0005-0000-0000-0000BF0E0000}"/>
    <cellStyle name="Note 8 3" xfId="3711" xr:uid="{00000000-0005-0000-0000-0000C00E0000}"/>
    <cellStyle name="Note 9" xfId="3712" xr:uid="{00000000-0005-0000-0000-0000C10E0000}"/>
    <cellStyle name="Note 9 2" xfId="3713" xr:uid="{00000000-0005-0000-0000-0000C20E0000}"/>
    <cellStyle name="Note 9 3" xfId="3714" xr:uid="{00000000-0005-0000-0000-0000C30E0000}"/>
    <cellStyle name="Notes" xfId="3715" xr:uid="{00000000-0005-0000-0000-0000C40E0000}"/>
    <cellStyle name="nPlosion" xfId="3716" xr:uid="{00000000-0005-0000-0000-0000C50E0000}"/>
    <cellStyle name="Num1" xfId="3717" xr:uid="{00000000-0005-0000-0000-0000C60E0000}"/>
    <cellStyle name="Num1Blue" xfId="3718" xr:uid="{00000000-0005-0000-0000-0000C70E0000}"/>
    <cellStyle name="num1Style" xfId="3719" xr:uid="{00000000-0005-0000-0000-0000C80E0000}"/>
    <cellStyle name="num1Styleb" xfId="3720" xr:uid="{00000000-0005-0000-0000-0000C90E0000}"/>
    <cellStyle name="Num2" xfId="3721" xr:uid="{00000000-0005-0000-0000-0000CA0E0000}"/>
    <cellStyle name="num4Style" xfId="3722" xr:uid="{00000000-0005-0000-0000-0000CB0E0000}"/>
    <cellStyle name="num4Styleb" xfId="3723" xr:uid="{00000000-0005-0000-0000-0000CC0E0000}"/>
    <cellStyle name="Number" xfId="3724" xr:uid="{00000000-0005-0000-0000-0000CD0E0000}"/>
    <cellStyle name="Number Bold" xfId="3725" xr:uid="{00000000-0005-0000-0000-0000CE0E0000}"/>
    <cellStyle name="Number Normal" xfId="3726" xr:uid="{00000000-0005-0000-0000-0000CF0E0000}"/>
    <cellStyle name="numbers" xfId="3727" xr:uid="{00000000-0005-0000-0000-0000D00E0000}"/>
    <cellStyle name="Numbers - Bold" xfId="3728" xr:uid="{00000000-0005-0000-0000-0000D10E0000}"/>
    <cellStyle name="Numbers_2004 Constellation Credit Charts v3 " xfId="3729" xr:uid="{00000000-0005-0000-0000-0000D20E0000}"/>
    <cellStyle name="numPStyle" xfId="3730" xr:uid="{00000000-0005-0000-0000-0000D30E0000}"/>
    <cellStyle name="numPStyleb" xfId="3731" xr:uid="{00000000-0005-0000-0000-0000D40E0000}"/>
    <cellStyle name="numXStyle" xfId="3732" xr:uid="{00000000-0005-0000-0000-0000D50E0000}"/>
    <cellStyle name="numXStyleb" xfId="3733" xr:uid="{00000000-0005-0000-0000-0000D60E0000}"/>
    <cellStyle name="nVision" xfId="3734" xr:uid="{00000000-0005-0000-0000-0000D70E0000}"/>
    <cellStyle name="nVision 2" xfId="3735" xr:uid="{00000000-0005-0000-0000-0000D80E0000}"/>
    <cellStyle name="o1" xfId="3736" xr:uid="{00000000-0005-0000-0000-0000D90E0000}"/>
    <cellStyle name="oca" xfId="3737" xr:uid="{00000000-0005-0000-0000-0000DA0E0000}"/>
    <cellStyle name="Œ…‹æØ‚è [0.00]_GE 3 MINIMUM" xfId="3738" xr:uid="{00000000-0005-0000-0000-0000DB0E0000}"/>
    <cellStyle name="Œ…‹æØ‚è_GE 3 MINIMUM" xfId="3739" xr:uid="{00000000-0005-0000-0000-0000DC0E0000}"/>
    <cellStyle name="One_Decimal_Dollar" xfId="3740" xr:uid="{00000000-0005-0000-0000-0000DD0E0000}"/>
    <cellStyle name="onedec" xfId="3741" xr:uid="{00000000-0005-0000-0000-0000DE0E0000}"/>
    <cellStyle name="OneDecimal" xfId="3742" xr:uid="{00000000-0005-0000-0000-0000DF0E0000}"/>
    <cellStyle name="op1" xfId="3743" xr:uid="{00000000-0005-0000-0000-0000E00E0000}"/>
    <cellStyle name="opt" xfId="3744" xr:uid="{00000000-0005-0000-0000-0000E10E0000}"/>
    <cellStyle name="opt 2" xfId="3745" xr:uid="{00000000-0005-0000-0000-0000E20E0000}"/>
    <cellStyle name="ot" xfId="3746" xr:uid="{00000000-0005-0000-0000-0000E30E0000}"/>
    <cellStyle name="Other%" xfId="3747" xr:uid="{00000000-0005-0000-0000-0000E40E0000}"/>
    <cellStyle name="otp" xfId="3748" xr:uid="{00000000-0005-0000-0000-0000E50E0000}"/>
    <cellStyle name="outh America" xfId="3749" xr:uid="{00000000-0005-0000-0000-0000E60E0000}"/>
    <cellStyle name="Outline" xfId="3750" xr:uid="{00000000-0005-0000-0000-0000E70E0000}"/>
    <cellStyle name="Output (1dpx)_ Pies " xfId="3751" xr:uid="{00000000-0005-0000-0000-0000E80E0000}"/>
    <cellStyle name="Output 10" xfId="3752" xr:uid="{00000000-0005-0000-0000-0000E90E0000}"/>
    <cellStyle name="Output 10 2" xfId="3753" xr:uid="{00000000-0005-0000-0000-0000EA0E0000}"/>
    <cellStyle name="Output 11" xfId="3754" xr:uid="{00000000-0005-0000-0000-0000EB0E0000}"/>
    <cellStyle name="Output 11 2" xfId="3755" xr:uid="{00000000-0005-0000-0000-0000EC0E0000}"/>
    <cellStyle name="Output 12" xfId="3756" xr:uid="{00000000-0005-0000-0000-0000ED0E0000}"/>
    <cellStyle name="Output 12 2" xfId="3757" xr:uid="{00000000-0005-0000-0000-0000EE0E0000}"/>
    <cellStyle name="Output 13" xfId="3758" xr:uid="{00000000-0005-0000-0000-0000EF0E0000}"/>
    <cellStyle name="Output 13 2" xfId="3759" xr:uid="{00000000-0005-0000-0000-0000F00E0000}"/>
    <cellStyle name="Output 14" xfId="3760" xr:uid="{00000000-0005-0000-0000-0000F10E0000}"/>
    <cellStyle name="Output 14 2" xfId="3761" xr:uid="{00000000-0005-0000-0000-0000F20E0000}"/>
    <cellStyle name="Output 15" xfId="3762" xr:uid="{00000000-0005-0000-0000-0000F30E0000}"/>
    <cellStyle name="Output 15 2" xfId="3763" xr:uid="{00000000-0005-0000-0000-0000F40E0000}"/>
    <cellStyle name="Output 16" xfId="3764" xr:uid="{00000000-0005-0000-0000-0000F50E0000}"/>
    <cellStyle name="Output 16 2" xfId="3765" xr:uid="{00000000-0005-0000-0000-0000F60E0000}"/>
    <cellStyle name="Output 17" xfId="3766" xr:uid="{00000000-0005-0000-0000-0000F70E0000}"/>
    <cellStyle name="Output 17 2" xfId="3767" xr:uid="{00000000-0005-0000-0000-0000F80E0000}"/>
    <cellStyle name="Output 18" xfId="3768" xr:uid="{00000000-0005-0000-0000-0000F90E0000}"/>
    <cellStyle name="Output 18 2" xfId="3769" xr:uid="{00000000-0005-0000-0000-0000FA0E0000}"/>
    <cellStyle name="Output 19" xfId="3770" xr:uid="{00000000-0005-0000-0000-0000FB0E0000}"/>
    <cellStyle name="Output 19 2" xfId="3771" xr:uid="{00000000-0005-0000-0000-0000FC0E0000}"/>
    <cellStyle name="Output 2" xfId="3772" xr:uid="{00000000-0005-0000-0000-0000FD0E0000}"/>
    <cellStyle name="Output 2 2" xfId="3773" xr:uid="{00000000-0005-0000-0000-0000FE0E0000}"/>
    <cellStyle name="Output 2 3" xfId="3774" xr:uid="{00000000-0005-0000-0000-0000FF0E0000}"/>
    <cellStyle name="Output 2 4" xfId="3775" xr:uid="{00000000-0005-0000-0000-0000000F0000}"/>
    <cellStyle name="Output 20" xfId="3776" xr:uid="{00000000-0005-0000-0000-0000010F0000}"/>
    <cellStyle name="Output 20 2" xfId="3777" xr:uid="{00000000-0005-0000-0000-0000020F0000}"/>
    <cellStyle name="Output 21" xfId="3778" xr:uid="{00000000-0005-0000-0000-0000030F0000}"/>
    <cellStyle name="Output 21 2" xfId="3779" xr:uid="{00000000-0005-0000-0000-0000040F0000}"/>
    <cellStyle name="Output 22" xfId="3780" xr:uid="{00000000-0005-0000-0000-0000050F0000}"/>
    <cellStyle name="Output 22 2" xfId="3781" xr:uid="{00000000-0005-0000-0000-0000060F0000}"/>
    <cellStyle name="Output 23" xfId="3782" xr:uid="{00000000-0005-0000-0000-0000070F0000}"/>
    <cellStyle name="Output 23 2" xfId="3783" xr:uid="{00000000-0005-0000-0000-0000080F0000}"/>
    <cellStyle name="Output 24" xfId="3784" xr:uid="{00000000-0005-0000-0000-0000090F0000}"/>
    <cellStyle name="Output 24 2" xfId="3785" xr:uid="{00000000-0005-0000-0000-00000A0F0000}"/>
    <cellStyle name="Output 25" xfId="3786" xr:uid="{00000000-0005-0000-0000-00000B0F0000}"/>
    <cellStyle name="Output 25 2" xfId="3787" xr:uid="{00000000-0005-0000-0000-00000C0F0000}"/>
    <cellStyle name="Output 26" xfId="3788" xr:uid="{00000000-0005-0000-0000-00000D0F0000}"/>
    <cellStyle name="Output 26 2" xfId="3789" xr:uid="{00000000-0005-0000-0000-00000E0F0000}"/>
    <cellStyle name="Output 27" xfId="3790" xr:uid="{00000000-0005-0000-0000-00000F0F0000}"/>
    <cellStyle name="Output 27 2" xfId="3791" xr:uid="{00000000-0005-0000-0000-0000100F0000}"/>
    <cellStyle name="Output 28" xfId="3792" xr:uid="{00000000-0005-0000-0000-0000110F0000}"/>
    <cellStyle name="Output 28 2" xfId="3793" xr:uid="{00000000-0005-0000-0000-0000120F0000}"/>
    <cellStyle name="Output 29" xfId="3794" xr:uid="{00000000-0005-0000-0000-0000130F0000}"/>
    <cellStyle name="Output 29 2" xfId="3795" xr:uid="{00000000-0005-0000-0000-0000140F0000}"/>
    <cellStyle name="Output 3" xfId="3796" xr:uid="{00000000-0005-0000-0000-0000150F0000}"/>
    <cellStyle name="Output 3 2" xfId="3797" xr:uid="{00000000-0005-0000-0000-0000160F0000}"/>
    <cellStyle name="Output 30" xfId="3798" xr:uid="{00000000-0005-0000-0000-0000170F0000}"/>
    <cellStyle name="Output 30 2" xfId="3799" xr:uid="{00000000-0005-0000-0000-0000180F0000}"/>
    <cellStyle name="Output 31" xfId="3800" xr:uid="{00000000-0005-0000-0000-0000190F0000}"/>
    <cellStyle name="Output 31 2" xfId="3801" xr:uid="{00000000-0005-0000-0000-00001A0F0000}"/>
    <cellStyle name="Output 32" xfId="3802" xr:uid="{00000000-0005-0000-0000-00001B0F0000}"/>
    <cellStyle name="Output 32 2" xfId="3803" xr:uid="{00000000-0005-0000-0000-00001C0F0000}"/>
    <cellStyle name="Output 33" xfId="3804" xr:uid="{00000000-0005-0000-0000-00001D0F0000}"/>
    <cellStyle name="Output 33 2" xfId="3805" xr:uid="{00000000-0005-0000-0000-00001E0F0000}"/>
    <cellStyle name="Output 34" xfId="3806" xr:uid="{00000000-0005-0000-0000-00001F0F0000}"/>
    <cellStyle name="Output 34 2" xfId="3807" xr:uid="{00000000-0005-0000-0000-0000200F0000}"/>
    <cellStyle name="Output 35" xfId="3808" xr:uid="{00000000-0005-0000-0000-0000210F0000}"/>
    <cellStyle name="Output 35 2" xfId="3809" xr:uid="{00000000-0005-0000-0000-0000220F0000}"/>
    <cellStyle name="Output 36" xfId="3810" xr:uid="{00000000-0005-0000-0000-0000230F0000}"/>
    <cellStyle name="Output 36 2" xfId="3811" xr:uid="{00000000-0005-0000-0000-0000240F0000}"/>
    <cellStyle name="Output 37" xfId="3812" xr:uid="{00000000-0005-0000-0000-0000250F0000}"/>
    <cellStyle name="Output 37 2" xfId="3813" xr:uid="{00000000-0005-0000-0000-0000260F0000}"/>
    <cellStyle name="Output 38" xfId="3814" xr:uid="{00000000-0005-0000-0000-0000270F0000}"/>
    <cellStyle name="Output 38 2" xfId="3815" xr:uid="{00000000-0005-0000-0000-0000280F0000}"/>
    <cellStyle name="Output 39" xfId="3816" xr:uid="{00000000-0005-0000-0000-0000290F0000}"/>
    <cellStyle name="Output 39 2" xfId="3817" xr:uid="{00000000-0005-0000-0000-00002A0F0000}"/>
    <cellStyle name="Output 4" xfId="3818" xr:uid="{00000000-0005-0000-0000-00002B0F0000}"/>
    <cellStyle name="Output 4 2" xfId="3819" xr:uid="{00000000-0005-0000-0000-00002C0F0000}"/>
    <cellStyle name="Output 40" xfId="3820" xr:uid="{00000000-0005-0000-0000-00002D0F0000}"/>
    <cellStyle name="Output 40 2" xfId="3821" xr:uid="{00000000-0005-0000-0000-00002E0F0000}"/>
    <cellStyle name="Output 41" xfId="3822" xr:uid="{00000000-0005-0000-0000-00002F0F0000}"/>
    <cellStyle name="Output 41 2" xfId="3823" xr:uid="{00000000-0005-0000-0000-0000300F0000}"/>
    <cellStyle name="Output 42" xfId="3824" xr:uid="{00000000-0005-0000-0000-0000310F0000}"/>
    <cellStyle name="Output 42 2" xfId="3825" xr:uid="{00000000-0005-0000-0000-0000320F0000}"/>
    <cellStyle name="Output 43" xfId="3826" xr:uid="{00000000-0005-0000-0000-0000330F0000}"/>
    <cellStyle name="Output 43 2" xfId="3827" xr:uid="{00000000-0005-0000-0000-0000340F0000}"/>
    <cellStyle name="Output 44" xfId="3828" xr:uid="{00000000-0005-0000-0000-0000350F0000}"/>
    <cellStyle name="Output 44 2" xfId="3829" xr:uid="{00000000-0005-0000-0000-0000360F0000}"/>
    <cellStyle name="Output 45" xfId="3830" xr:uid="{00000000-0005-0000-0000-0000370F0000}"/>
    <cellStyle name="Output 45 2" xfId="3831" xr:uid="{00000000-0005-0000-0000-0000380F0000}"/>
    <cellStyle name="Output 46" xfId="3832" xr:uid="{00000000-0005-0000-0000-0000390F0000}"/>
    <cellStyle name="Output 46 2" xfId="3833" xr:uid="{00000000-0005-0000-0000-00003A0F0000}"/>
    <cellStyle name="Output 47" xfId="3834" xr:uid="{00000000-0005-0000-0000-00003B0F0000}"/>
    <cellStyle name="Output 47 2" xfId="3835" xr:uid="{00000000-0005-0000-0000-00003C0F0000}"/>
    <cellStyle name="Output 48" xfId="3836" xr:uid="{00000000-0005-0000-0000-00003D0F0000}"/>
    <cellStyle name="Output 48 2" xfId="3837" xr:uid="{00000000-0005-0000-0000-00003E0F0000}"/>
    <cellStyle name="Output 49" xfId="3838" xr:uid="{00000000-0005-0000-0000-00003F0F0000}"/>
    <cellStyle name="Output 49 2" xfId="3839" xr:uid="{00000000-0005-0000-0000-0000400F0000}"/>
    <cellStyle name="Output 5" xfId="3840" xr:uid="{00000000-0005-0000-0000-0000410F0000}"/>
    <cellStyle name="Output 5 2" xfId="3841" xr:uid="{00000000-0005-0000-0000-0000420F0000}"/>
    <cellStyle name="Output 50" xfId="3842" xr:uid="{00000000-0005-0000-0000-0000430F0000}"/>
    <cellStyle name="Output 50 2" xfId="3843" xr:uid="{00000000-0005-0000-0000-0000440F0000}"/>
    <cellStyle name="Output 51" xfId="3844" xr:uid="{00000000-0005-0000-0000-0000450F0000}"/>
    <cellStyle name="Output 51 2" xfId="3845" xr:uid="{00000000-0005-0000-0000-0000460F0000}"/>
    <cellStyle name="Output 52" xfId="3846" xr:uid="{00000000-0005-0000-0000-0000470F0000}"/>
    <cellStyle name="Output 52 2" xfId="3847" xr:uid="{00000000-0005-0000-0000-0000480F0000}"/>
    <cellStyle name="Output 53" xfId="3848" xr:uid="{00000000-0005-0000-0000-0000490F0000}"/>
    <cellStyle name="Output 53 2" xfId="3849" xr:uid="{00000000-0005-0000-0000-00004A0F0000}"/>
    <cellStyle name="Output 54" xfId="3850" xr:uid="{00000000-0005-0000-0000-00004B0F0000}"/>
    <cellStyle name="Output 54 2" xfId="3851" xr:uid="{00000000-0005-0000-0000-00004C0F0000}"/>
    <cellStyle name="Output 55" xfId="3852" xr:uid="{00000000-0005-0000-0000-00004D0F0000}"/>
    <cellStyle name="Output 55 2" xfId="3853" xr:uid="{00000000-0005-0000-0000-00004E0F0000}"/>
    <cellStyle name="Output 56" xfId="3854" xr:uid="{00000000-0005-0000-0000-00004F0F0000}"/>
    <cellStyle name="Output 56 2" xfId="3855" xr:uid="{00000000-0005-0000-0000-0000500F0000}"/>
    <cellStyle name="Output 57" xfId="3856" xr:uid="{00000000-0005-0000-0000-0000510F0000}"/>
    <cellStyle name="Output 57 2" xfId="3857" xr:uid="{00000000-0005-0000-0000-0000520F0000}"/>
    <cellStyle name="Output 58" xfId="3858" xr:uid="{00000000-0005-0000-0000-0000530F0000}"/>
    <cellStyle name="Output 58 2" xfId="3859" xr:uid="{00000000-0005-0000-0000-0000540F0000}"/>
    <cellStyle name="Output 59" xfId="3860" xr:uid="{00000000-0005-0000-0000-0000550F0000}"/>
    <cellStyle name="Output 59 2" xfId="3861" xr:uid="{00000000-0005-0000-0000-0000560F0000}"/>
    <cellStyle name="Output 6" xfId="3862" xr:uid="{00000000-0005-0000-0000-0000570F0000}"/>
    <cellStyle name="Output 6 2" xfId="3863" xr:uid="{00000000-0005-0000-0000-0000580F0000}"/>
    <cellStyle name="Output 60" xfId="3864" xr:uid="{00000000-0005-0000-0000-0000590F0000}"/>
    <cellStyle name="Output 60 2" xfId="3865" xr:uid="{00000000-0005-0000-0000-00005A0F0000}"/>
    <cellStyle name="Output 61" xfId="3866" xr:uid="{00000000-0005-0000-0000-00005B0F0000}"/>
    <cellStyle name="Output 61 2" xfId="3867" xr:uid="{00000000-0005-0000-0000-00005C0F0000}"/>
    <cellStyle name="Output 62" xfId="3868" xr:uid="{00000000-0005-0000-0000-00005D0F0000}"/>
    <cellStyle name="Output 62 2" xfId="3869" xr:uid="{00000000-0005-0000-0000-00005E0F0000}"/>
    <cellStyle name="Output 63" xfId="3870" xr:uid="{00000000-0005-0000-0000-00005F0F0000}"/>
    <cellStyle name="Output 63 2" xfId="3871" xr:uid="{00000000-0005-0000-0000-0000600F0000}"/>
    <cellStyle name="Output 64" xfId="3872" xr:uid="{00000000-0005-0000-0000-0000610F0000}"/>
    <cellStyle name="Output 64 2" xfId="3873" xr:uid="{00000000-0005-0000-0000-0000620F0000}"/>
    <cellStyle name="Output 65" xfId="3874" xr:uid="{00000000-0005-0000-0000-0000630F0000}"/>
    <cellStyle name="Output 65 2" xfId="3875" xr:uid="{00000000-0005-0000-0000-0000640F0000}"/>
    <cellStyle name="Output 66" xfId="3876" xr:uid="{00000000-0005-0000-0000-0000650F0000}"/>
    <cellStyle name="Output 66 2" xfId="3877" xr:uid="{00000000-0005-0000-0000-0000660F0000}"/>
    <cellStyle name="Output 67" xfId="3878" xr:uid="{00000000-0005-0000-0000-0000670F0000}"/>
    <cellStyle name="Output 67 2" xfId="3879" xr:uid="{00000000-0005-0000-0000-0000680F0000}"/>
    <cellStyle name="Output 68" xfId="3880" xr:uid="{00000000-0005-0000-0000-0000690F0000}"/>
    <cellStyle name="Output 68 2" xfId="3881" xr:uid="{00000000-0005-0000-0000-00006A0F0000}"/>
    <cellStyle name="Output 69" xfId="3882" xr:uid="{00000000-0005-0000-0000-00006B0F0000}"/>
    <cellStyle name="Output 69 2" xfId="3883" xr:uid="{00000000-0005-0000-0000-00006C0F0000}"/>
    <cellStyle name="Output 7" xfId="3884" xr:uid="{00000000-0005-0000-0000-00006D0F0000}"/>
    <cellStyle name="Output 7 2" xfId="3885" xr:uid="{00000000-0005-0000-0000-00006E0F0000}"/>
    <cellStyle name="Output 70" xfId="3886" xr:uid="{00000000-0005-0000-0000-00006F0F0000}"/>
    <cellStyle name="Output 70 2" xfId="3887" xr:uid="{00000000-0005-0000-0000-0000700F0000}"/>
    <cellStyle name="Output 71" xfId="3888" xr:uid="{00000000-0005-0000-0000-0000710F0000}"/>
    <cellStyle name="Output 71 2" xfId="3889" xr:uid="{00000000-0005-0000-0000-0000720F0000}"/>
    <cellStyle name="Output 72" xfId="3890" xr:uid="{00000000-0005-0000-0000-0000730F0000}"/>
    <cellStyle name="Output 72 2" xfId="3891" xr:uid="{00000000-0005-0000-0000-0000740F0000}"/>
    <cellStyle name="Output 73" xfId="3892" xr:uid="{00000000-0005-0000-0000-0000750F0000}"/>
    <cellStyle name="Output 73 2" xfId="3893" xr:uid="{00000000-0005-0000-0000-0000760F0000}"/>
    <cellStyle name="Output 74" xfId="3894" xr:uid="{00000000-0005-0000-0000-0000770F0000}"/>
    <cellStyle name="Output 74 2" xfId="3895" xr:uid="{00000000-0005-0000-0000-0000780F0000}"/>
    <cellStyle name="Output 75" xfId="3896" xr:uid="{00000000-0005-0000-0000-0000790F0000}"/>
    <cellStyle name="Output 75 2" xfId="3897" xr:uid="{00000000-0005-0000-0000-00007A0F0000}"/>
    <cellStyle name="Output 76" xfId="3898" xr:uid="{00000000-0005-0000-0000-00007B0F0000}"/>
    <cellStyle name="Output 76 2" xfId="3899" xr:uid="{00000000-0005-0000-0000-00007C0F0000}"/>
    <cellStyle name="Output 77" xfId="3900" xr:uid="{00000000-0005-0000-0000-00007D0F0000}"/>
    <cellStyle name="Output 77 2" xfId="3901" xr:uid="{00000000-0005-0000-0000-00007E0F0000}"/>
    <cellStyle name="Output 78" xfId="3902" xr:uid="{00000000-0005-0000-0000-00007F0F0000}"/>
    <cellStyle name="Output 78 2" xfId="3903" xr:uid="{00000000-0005-0000-0000-0000800F0000}"/>
    <cellStyle name="Output 79" xfId="3904" xr:uid="{00000000-0005-0000-0000-0000810F0000}"/>
    <cellStyle name="Output 79 2" xfId="3905" xr:uid="{00000000-0005-0000-0000-0000820F0000}"/>
    <cellStyle name="Output 8" xfId="3906" xr:uid="{00000000-0005-0000-0000-0000830F0000}"/>
    <cellStyle name="Output 8 2" xfId="3907" xr:uid="{00000000-0005-0000-0000-0000840F0000}"/>
    <cellStyle name="Output 9" xfId="3908" xr:uid="{00000000-0005-0000-0000-0000850F0000}"/>
    <cellStyle name="Output 9 2" xfId="3909" xr:uid="{00000000-0005-0000-0000-0000860F0000}"/>
    <cellStyle name="Output Amounts" xfId="3910" xr:uid="{00000000-0005-0000-0000-0000870F0000}"/>
    <cellStyle name="Output Column Headings" xfId="3911" xr:uid="{00000000-0005-0000-0000-0000880F0000}"/>
    <cellStyle name="Output Line Items" xfId="3912" xr:uid="{00000000-0005-0000-0000-0000890F0000}"/>
    <cellStyle name="Output Report Heading" xfId="3913" xr:uid="{00000000-0005-0000-0000-00008A0F0000}"/>
    <cellStyle name="Output Report Title" xfId="3914" xr:uid="{00000000-0005-0000-0000-00008B0F0000}"/>
    <cellStyle name="Output1_Back" xfId="3915" xr:uid="{00000000-0005-0000-0000-00008C0F0000}"/>
    <cellStyle name="Outputs (Locked)" xfId="3916" xr:uid="{00000000-0005-0000-0000-00008D0F0000}"/>
    <cellStyle name="p" xfId="3917" xr:uid="{00000000-0005-0000-0000-00008E0F0000}"/>
    <cellStyle name="p." xfId="3918" xr:uid="{00000000-0005-0000-0000-00008F0F0000}"/>
    <cellStyle name="p[1" xfId="3919" xr:uid="{00000000-0005-0000-0000-0000900F0000}"/>
    <cellStyle name="p_Biomet Valuation - 4Q10" xfId="3920" xr:uid="{00000000-0005-0000-0000-0000910F0000}"/>
    <cellStyle name="P_Input" xfId="3921" xr:uid="{00000000-0005-0000-0000-0000920F0000}"/>
    <cellStyle name="P_Input 2" xfId="3922" xr:uid="{00000000-0005-0000-0000-0000930F0000}"/>
    <cellStyle name="p_Inputs" xfId="3923" xr:uid="{00000000-0005-0000-0000-0000940F0000}"/>
    <cellStyle name="p`" xfId="3924" xr:uid="{00000000-0005-0000-0000-0000950F0000}"/>
    <cellStyle name="p0" xfId="3925" xr:uid="{00000000-0005-0000-0000-0000960F0000}"/>
    <cellStyle name="p1" xfId="3926" xr:uid="{00000000-0005-0000-0000-0000970F0000}"/>
    <cellStyle name="p1\" xfId="3927" xr:uid="{00000000-0005-0000-0000-0000980F0000}"/>
    <cellStyle name="p1\ 2" xfId="3928" xr:uid="{00000000-0005-0000-0000-0000990F0000}"/>
    <cellStyle name="p1_Biomet Valuation - 4Q10" xfId="3929" xr:uid="{00000000-0005-0000-0000-00009A0F0000}"/>
    <cellStyle name="p1i" xfId="3930" xr:uid="{00000000-0005-0000-0000-00009B0F0000}"/>
    <cellStyle name="p1u" xfId="3931" xr:uid="{00000000-0005-0000-0000-00009C0F0000}"/>
    <cellStyle name="p2" xfId="3932" xr:uid="{00000000-0005-0000-0000-00009D0F0000}"/>
    <cellStyle name="p3" xfId="3933" xr:uid="{00000000-0005-0000-0000-00009E0F0000}"/>
    <cellStyle name="Page Heading" xfId="3934" xr:uid="{00000000-0005-0000-0000-00009F0F0000}"/>
    <cellStyle name="Page Heading Large" xfId="3935" xr:uid="{00000000-0005-0000-0000-0000A00F0000}"/>
    <cellStyle name="Page Heading Small" xfId="3936" xr:uid="{00000000-0005-0000-0000-0000A10F0000}"/>
    <cellStyle name="Page Heading_PAA_HoldCo Comps -lw" xfId="3937" xr:uid="{00000000-0005-0000-0000-0000A20F0000}"/>
    <cellStyle name="Page Number" xfId="3938" xr:uid="{00000000-0005-0000-0000-0000A30F0000}"/>
    <cellStyle name="Parens (1)" xfId="3939" xr:uid="{00000000-0005-0000-0000-0000A40F0000}"/>
    <cellStyle name="PB Table Heading" xfId="3940" xr:uid="{00000000-0005-0000-0000-0000A50F0000}"/>
    <cellStyle name="PB Table Highlight1" xfId="3941" xr:uid="{00000000-0005-0000-0000-0000A60F0000}"/>
    <cellStyle name="PB Table Highlight2" xfId="3942" xr:uid="{00000000-0005-0000-0000-0000A70F0000}"/>
    <cellStyle name="PB Table Highlight2 2" xfId="27871" xr:uid="{00000000-0005-0000-0000-0000A80F0000}"/>
    <cellStyle name="PB Table Highlight2 2 2" xfId="27960" xr:uid="{00000000-0005-0000-0000-0000A90F0000}"/>
    <cellStyle name="PB Table Highlight2 2 2 2" xfId="28178" xr:uid="{00000000-0005-0000-0000-0000AA0F0000}"/>
    <cellStyle name="PB Table Highlight2 2 3" xfId="28193" xr:uid="{00000000-0005-0000-0000-0000AB0F0000}"/>
    <cellStyle name="PB Table Highlight3" xfId="3943" xr:uid="{00000000-0005-0000-0000-0000AC0F0000}"/>
    <cellStyle name="PB Table Highlight3 2" xfId="27872" xr:uid="{00000000-0005-0000-0000-0000AD0F0000}"/>
    <cellStyle name="PB Table Highlight3 2 2" xfId="27961" xr:uid="{00000000-0005-0000-0000-0000AE0F0000}"/>
    <cellStyle name="PB Table Highlight3 2 2 2" xfId="28177" xr:uid="{00000000-0005-0000-0000-0000AF0F0000}"/>
    <cellStyle name="PB Table Highlight3 2 3" xfId="28194" xr:uid="{00000000-0005-0000-0000-0000B00F0000}"/>
    <cellStyle name="PB Table Standard Row" xfId="3944" xr:uid="{00000000-0005-0000-0000-0000B10F0000}"/>
    <cellStyle name="PB Table Subtotal Row" xfId="3945" xr:uid="{00000000-0005-0000-0000-0000B20F0000}"/>
    <cellStyle name="PB Table Total Row" xfId="3946" xr:uid="{00000000-0005-0000-0000-0000B30F0000}"/>
    <cellStyle name="pct_sub" xfId="3947" xr:uid="{00000000-0005-0000-0000-0000B40F0000}"/>
    <cellStyle name="per.style" xfId="3948" xr:uid="{00000000-0005-0000-0000-0000B50F0000}"/>
    <cellStyle name="Percen - Style1" xfId="3949" xr:uid="{00000000-0005-0000-0000-0000B60F0000}"/>
    <cellStyle name="Percent %" xfId="3950" xr:uid="{00000000-0005-0000-0000-0000B80F0000}"/>
    <cellStyle name="Percent % Long Underline" xfId="3951" xr:uid="{00000000-0005-0000-0000-0000B90F0000}"/>
    <cellStyle name="Percent (0)" xfId="3952" xr:uid="{00000000-0005-0000-0000-0000BA0F0000}"/>
    <cellStyle name="Percent (1)" xfId="3953" xr:uid="{00000000-0005-0000-0000-0000BB0F0000}"/>
    <cellStyle name="Percent (1) 2" xfId="3954" xr:uid="{00000000-0005-0000-0000-0000BC0F0000}"/>
    <cellStyle name="Percent [2]" xfId="3955" xr:uid="{00000000-0005-0000-0000-0000BD0F0000}"/>
    <cellStyle name="Percent 0.0%" xfId="3956" xr:uid="{00000000-0005-0000-0000-0000BE0F0000}"/>
    <cellStyle name="Percent 0.0% Long Underline" xfId="3957" xr:uid="{00000000-0005-0000-0000-0000BF0F0000}"/>
    <cellStyle name="Percent 0.00%" xfId="3958" xr:uid="{00000000-0005-0000-0000-0000C00F0000}"/>
    <cellStyle name="Percent 0.00% Long Underline" xfId="3959" xr:uid="{00000000-0005-0000-0000-0000C10F0000}"/>
    <cellStyle name="Percent 0.000%" xfId="3960" xr:uid="{00000000-0005-0000-0000-0000C20F0000}"/>
    <cellStyle name="Percent 0.000% Long Underline" xfId="3961" xr:uid="{00000000-0005-0000-0000-0000C30F0000}"/>
    <cellStyle name="percent 1 decimal" xfId="3962" xr:uid="{00000000-0005-0000-0000-0000C40F0000}"/>
    <cellStyle name="Percent 10" xfId="3963" xr:uid="{00000000-0005-0000-0000-0000C50F0000}"/>
    <cellStyle name="Percent 100" xfId="27992" xr:uid="{00000000-0005-0000-0000-0000C60F0000}"/>
    <cellStyle name="Percent 11" xfId="3964" xr:uid="{00000000-0005-0000-0000-0000C70F0000}"/>
    <cellStyle name="Percent 12" xfId="3965" xr:uid="{00000000-0005-0000-0000-0000C80F0000}"/>
    <cellStyle name="Percent 13" xfId="3966" xr:uid="{00000000-0005-0000-0000-0000C90F0000}"/>
    <cellStyle name="Percent 14" xfId="3967" xr:uid="{00000000-0005-0000-0000-0000CA0F0000}"/>
    <cellStyle name="Percent 15" xfId="3968" xr:uid="{00000000-0005-0000-0000-0000CB0F0000}"/>
    <cellStyle name="Percent 16" xfId="3969" xr:uid="{00000000-0005-0000-0000-0000CC0F0000}"/>
    <cellStyle name="Percent 17" xfId="3970" xr:uid="{00000000-0005-0000-0000-0000CD0F0000}"/>
    <cellStyle name="Percent 18" xfId="3971" xr:uid="{00000000-0005-0000-0000-0000CE0F0000}"/>
    <cellStyle name="Percent 19" xfId="3972" xr:uid="{00000000-0005-0000-0000-0000CF0F0000}"/>
    <cellStyle name="Percent 2" xfId="3973" xr:uid="{00000000-0005-0000-0000-0000D00F0000}"/>
    <cellStyle name="Percent 2 2" xfId="3974" xr:uid="{00000000-0005-0000-0000-0000D10F0000}"/>
    <cellStyle name="Percent 2 3" xfId="3975" xr:uid="{00000000-0005-0000-0000-0000D20F0000}"/>
    <cellStyle name="percent 2 decimal" xfId="3976" xr:uid="{00000000-0005-0000-0000-0000D30F0000}"/>
    <cellStyle name="Percent 20" xfId="3977" xr:uid="{00000000-0005-0000-0000-0000D40F0000}"/>
    <cellStyle name="Percent 21" xfId="3978" xr:uid="{00000000-0005-0000-0000-0000D50F0000}"/>
    <cellStyle name="Percent 22" xfId="3979" xr:uid="{00000000-0005-0000-0000-0000D60F0000}"/>
    <cellStyle name="Percent 23" xfId="3980" xr:uid="{00000000-0005-0000-0000-0000D70F0000}"/>
    <cellStyle name="Percent 24" xfId="3981" xr:uid="{00000000-0005-0000-0000-0000D80F0000}"/>
    <cellStyle name="Percent 25" xfId="3982" xr:uid="{00000000-0005-0000-0000-0000D90F0000}"/>
    <cellStyle name="Percent 25 2" xfId="3983" xr:uid="{00000000-0005-0000-0000-0000DA0F0000}"/>
    <cellStyle name="Percent 26" xfId="3984" xr:uid="{00000000-0005-0000-0000-0000DB0F0000}"/>
    <cellStyle name="Percent 27" xfId="3985" xr:uid="{00000000-0005-0000-0000-0000DC0F0000}"/>
    <cellStyle name="Percent 28" xfId="3986" xr:uid="{00000000-0005-0000-0000-0000DD0F0000}"/>
    <cellStyle name="Percent 29" xfId="27990" xr:uid="{00000000-0005-0000-0000-0000DE0F0000}"/>
    <cellStyle name="Percent 3" xfId="3987" xr:uid="{00000000-0005-0000-0000-0000DF0F0000}"/>
    <cellStyle name="Percent 30" xfId="28199" xr:uid="{00000000-0005-0000-0000-0000E00F0000}"/>
    <cellStyle name="Percent 31" xfId="28172" xr:uid="{00000000-0005-0000-0000-0000E10F0000}"/>
    <cellStyle name="Percent 32" xfId="28185" xr:uid="{00000000-0005-0000-0000-0000E20F0000}"/>
    <cellStyle name="Percent 33" xfId="28290" xr:uid="{00000000-0005-0000-0000-0000E30F0000}"/>
    <cellStyle name="Percent 34" xfId="28201" xr:uid="{00000000-0005-0000-0000-0000E40F0000}"/>
    <cellStyle name="Percent 4" xfId="3988" xr:uid="{00000000-0005-0000-0000-0000E50F0000}"/>
    <cellStyle name="Percent 4 2" xfId="3989" xr:uid="{00000000-0005-0000-0000-0000E60F0000}"/>
    <cellStyle name="Percent 5" xfId="3990" xr:uid="{00000000-0005-0000-0000-0000E70F0000}"/>
    <cellStyle name="Percent 6" xfId="3991" xr:uid="{00000000-0005-0000-0000-0000E80F0000}"/>
    <cellStyle name="Percent 7" xfId="3992" xr:uid="{00000000-0005-0000-0000-0000E90F0000}"/>
    <cellStyle name="Percent 8" xfId="3993" xr:uid="{00000000-0005-0000-0000-0000EA0F0000}"/>
    <cellStyle name="Percent 9" xfId="3994" xr:uid="{00000000-0005-0000-0000-0000EB0F0000}"/>
    <cellStyle name="Percent Hard" xfId="3995" xr:uid="{00000000-0005-0000-0000-0000EC0F0000}"/>
    <cellStyle name="percent no decimal" xfId="3996" xr:uid="{00000000-0005-0000-0000-0000ED0F0000}"/>
    <cellStyle name="Percent Reversal Expense" xfId="3997" xr:uid="{00000000-0005-0000-0000-0000EE0F0000}"/>
    <cellStyle name="Percent1" xfId="3998" xr:uid="{00000000-0005-0000-0000-0000EF0F0000}"/>
    <cellStyle name="Percent1Blue" xfId="3999" xr:uid="{00000000-0005-0000-0000-0000F00F0000}"/>
    <cellStyle name="Percent2" xfId="4000" xr:uid="{00000000-0005-0000-0000-0000F10F0000}"/>
    <cellStyle name="Percent2Blue" xfId="4001" xr:uid="{00000000-0005-0000-0000-0000F20F0000}"/>
    <cellStyle name="Percentage" xfId="4002" xr:uid="{00000000-0005-0000-0000-0000F30F0000}"/>
    <cellStyle name="PercentPresentation" xfId="4003" xr:uid="{00000000-0005-0000-0000-0000F40F0000}"/>
    <cellStyle name="POPS" xfId="4004" xr:uid="{00000000-0005-0000-0000-0000F50F0000}"/>
    <cellStyle name="Porcentaje" xfId="4005" xr:uid="{00000000-0005-0000-0000-0000F60F0000}"/>
    <cellStyle name="Porcentual_BASE" xfId="4006" xr:uid="{00000000-0005-0000-0000-0000F70F0000}"/>
    <cellStyle name="pp1" xfId="4007" xr:uid="{00000000-0005-0000-0000-0000F80F0000}"/>
    <cellStyle name="pq" xfId="4008" xr:uid="{00000000-0005-0000-0000-0000F90F0000}"/>
    <cellStyle name="present" xfId="4009" xr:uid="{00000000-0005-0000-0000-0000FA0F0000}"/>
    <cellStyle name="PresentationZero" xfId="4010" xr:uid="{00000000-0005-0000-0000-0000FB0F0000}"/>
    <cellStyle name="Price" xfId="4011" xr:uid="{00000000-0005-0000-0000-0000FC0F0000}"/>
    <cellStyle name="Private" xfId="4012" xr:uid="{00000000-0005-0000-0000-0000FD0F0000}"/>
    <cellStyle name="Private1" xfId="4013" xr:uid="{00000000-0005-0000-0000-0000FE0F0000}"/>
    <cellStyle name="PRM" xfId="4014" xr:uid="{00000000-0005-0000-0000-0000FF0F0000}"/>
    <cellStyle name="PRM 2" xfId="4015" xr:uid="{00000000-0005-0000-0000-000000100000}"/>
    <cellStyle name="Problem Var" xfId="4016" xr:uid="{00000000-0005-0000-0000-000001100000}"/>
    <cellStyle name="PROJECT" xfId="4017" xr:uid="{00000000-0005-0000-0000-000002100000}"/>
    <cellStyle name="PROJECT R" xfId="4018" xr:uid="{00000000-0005-0000-0000-000003100000}"/>
    <cellStyle name="PSChar" xfId="4019" xr:uid="{00000000-0005-0000-0000-000004100000}"/>
    <cellStyle name="PSDate" xfId="4020" xr:uid="{00000000-0005-0000-0000-000005100000}"/>
    <cellStyle name="PSDec" xfId="4021" xr:uid="{00000000-0005-0000-0000-000006100000}"/>
    <cellStyle name="PSHeading" xfId="4022" xr:uid="{00000000-0005-0000-0000-000007100000}"/>
    <cellStyle name="PSInt" xfId="4023" xr:uid="{00000000-0005-0000-0000-000008100000}"/>
    <cellStyle name="PSSpacer" xfId="4024" xr:uid="{00000000-0005-0000-0000-000009100000}"/>
    <cellStyle name="pu" xfId="4025" xr:uid="{00000000-0005-0000-0000-00000A100000}"/>
    <cellStyle name="pu 2" xfId="4026" xr:uid="{00000000-0005-0000-0000-00000B100000}"/>
    <cellStyle name="Punto0" xfId="4027" xr:uid="{00000000-0005-0000-0000-00000C100000}"/>
    <cellStyle name="q," xfId="4028" xr:uid="{00000000-0005-0000-0000-00000D100000}"/>
    <cellStyle name="r" xfId="4029" xr:uid="{00000000-0005-0000-0000-00000E100000}"/>
    <cellStyle name="r_BB_ChartsandTables_Oct05_v1" xfId="4030" xr:uid="{00000000-0005-0000-0000-00000F100000}"/>
    <cellStyle name="r_BB_ChartsandTables_Oct05_v1_Valerus Financial Model  - COMPANY VERSION 7-1-09 (Barcap v2)" xfId="4031" xr:uid="{00000000-0005-0000-0000-000010100000}"/>
    <cellStyle name="r_BB_ChartsandTables_Oct05_v1_Valerus Financial Model  - COMPANY VERSION 7-1-09 (Barcap v28)" xfId="4032" xr:uid="{00000000-0005-0000-0000-000011100000}"/>
    <cellStyle name="r_BBChartsandTables-1(dallas)" xfId="4033" xr:uid="{00000000-0005-0000-0000-000012100000}"/>
    <cellStyle name="r_BBChartsandTables-1(dallas)_Valerus Financial Model  - COMPANY VERSION 7-1-09 (Barcap v2)" xfId="4034" xr:uid="{00000000-0005-0000-0000-000013100000}"/>
    <cellStyle name="r_BBChartsandTables-1(dallas)_Valerus Financial Model  - COMPANY VERSION 7-1-09 (Barcap v28)" xfId="4035" xr:uid="{00000000-0005-0000-0000-000014100000}"/>
    <cellStyle name="r_Biomet Valuation - 4Q10" xfId="4036" xr:uid="{00000000-0005-0000-0000-000015100000}"/>
    <cellStyle name="r_Biomet Valuation - 4Q10 2" xfId="4037" xr:uid="{00000000-0005-0000-0000-000016100000}"/>
    <cellStyle name="r_EntComps-10.7.03" xfId="4038" xr:uid="{00000000-0005-0000-0000-000017100000}"/>
    <cellStyle name="r_RRC BB Review Dec 2004 - Inserts" xfId="4039" xr:uid="{00000000-0005-0000-0000-000018100000}"/>
    <cellStyle name="R00A" xfId="4040" xr:uid="{00000000-0005-0000-0000-000019100000}"/>
    <cellStyle name="R00B" xfId="4041" xr:uid="{00000000-0005-0000-0000-00001A100000}"/>
    <cellStyle name="R00L" xfId="4042" xr:uid="{00000000-0005-0000-0000-00001B100000}"/>
    <cellStyle name="R01A" xfId="4043" xr:uid="{00000000-0005-0000-0000-00001C100000}"/>
    <cellStyle name="R01A 2" xfId="4044" xr:uid="{00000000-0005-0000-0000-00001D100000}"/>
    <cellStyle name="R01B" xfId="4045" xr:uid="{00000000-0005-0000-0000-00001E100000}"/>
    <cellStyle name="R01H" xfId="4046" xr:uid="{00000000-0005-0000-0000-00001F100000}"/>
    <cellStyle name="R01L" xfId="4047" xr:uid="{00000000-0005-0000-0000-000020100000}"/>
    <cellStyle name="R02A" xfId="4048" xr:uid="{00000000-0005-0000-0000-000021100000}"/>
    <cellStyle name="R02A 2" xfId="4049" xr:uid="{00000000-0005-0000-0000-000022100000}"/>
    <cellStyle name="R02B" xfId="4050" xr:uid="{00000000-0005-0000-0000-000023100000}"/>
    <cellStyle name="R02B 2" xfId="4051" xr:uid="{00000000-0005-0000-0000-000024100000}"/>
    <cellStyle name="R02H" xfId="4052" xr:uid="{00000000-0005-0000-0000-000025100000}"/>
    <cellStyle name="R02L" xfId="4053" xr:uid="{00000000-0005-0000-0000-000026100000}"/>
    <cellStyle name="R03A" xfId="4054" xr:uid="{00000000-0005-0000-0000-000027100000}"/>
    <cellStyle name="R03A 2" xfId="4055" xr:uid="{00000000-0005-0000-0000-000028100000}"/>
    <cellStyle name="R03B" xfId="4056" xr:uid="{00000000-0005-0000-0000-000029100000}"/>
    <cellStyle name="R03B 2" xfId="4057" xr:uid="{00000000-0005-0000-0000-00002A100000}"/>
    <cellStyle name="R03H" xfId="4058" xr:uid="{00000000-0005-0000-0000-00002B100000}"/>
    <cellStyle name="R03L" xfId="4059" xr:uid="{00000000-0005-0000-0000-00002C100000}"/>
    <cellStyle name="R04A" xfId="4060" xr:uid="{00000000-0005-0000-0000-00002D100000}"/>
    <cellStyle name="R04A 2" xfId="4061" xr:uid="{00000000-0005-0000-0000-00002E100000}"/>
    <cellStyle name="R04B" xfId="4062" xr:uid="{00000000-0005-0000-0000-00002F100000}"/>
    <cellStyle name="R04B 2" xfId="4063" xr:uid="{00000000-0005-0000-0000-000030100000}"/>
    <cellStyle name="R04H" xfId="4064" xr:uid="{00000000-0005-0000-0000-000031100000}"/>
    <cellStyle name="R04L" xfId="4065" xr:uid="{00000000-0005-0000-0000-000032100000}"/>
    <cellStyle name="R05A" xfId="4066" xr:uid="{00000000-0005-0000-0000-000033100000}"/>
    <cellStyle name="R05A 2" xfId="4067" xr:uid="{00000000-0005-0000-0000-000034100000}"/>
    <cellStyle name="R05B" xfId="4068" xr:uid="{00000000-0005-0000-0000-000035100000}"/>
    <cellStyle name="R05B 2" xfId="4069" xr:uid="{00000000-0005-0000-0000-000036100000}"/>
    <cellStyle name="R05H" xfId="4070" xr:uid="{00000000-0005-0000-0000-000037100000}"/>
    <cellStyle name="R05L" xfId="4071" xr:uid="{00000000-0005-0000-0000-000038100000}"/>
    <cellStyle name="R06A" xfId="4072" xr:uid="{00000000-0005-0000-0000-000039100000}"/>
    <cellStyle name="R06A 2" xfId="4073" xr:uid="{00000000-0005-0000-0000-00003A100000}"/>
    <cellStyle name="R06B" xfId="4074" xr:uid="{00000000-0005-0000-0000-00003B100000}"/>
    <cellStyle name="R06B 2" xfId="4075" xr:uid="{00000000-0005-0000-0000-00003C100000}"/>
    <cellStyle name="R06H" xfId="4076" xr:uid="{00000000-0005-0000-0000-00003D100000}"/>
    <cellStyle name="R06L" xfId="4077" xr:uid="{00000000-0005-0000-0000-00003E100000}"/>
    <cellStyle name="R07A" xfId="4078" xr:uid="{00000000-0005-0000-0000-00003F100000}"/>
    <cellStyle name="R07A 2" xfId="4079" xr:uid="{00000000-0005-0000-0000-000040100000}"/>
    <cellStyle name="R07B" xfId="4080" xr:uid="{00000000-0005-0000-0000-000041100000}"/>
    <cellStyle name="R07B 2" xfId="4081" xr:uid="{00000000-0005-0000-0000-000042100000}"/>
    <cellStyle name="R07H" xfId="4082" xr:uid="{00000000-0005-0000-0000-000043100000}"/>
    <cellStyle name="R07L" xfId="4083" xr:uid="{00000000-0005-0000-0000-000044100000}"/>
    <cellStyle name="rborder" xfId="4084" xr:uid="{00000000-0005-0000-0000-000045100000}"/>
    <cellStyle name="red" xfId="4085" xr:uid="{00000000-0005-0000-0000-000046100000}"/>
    <cellStyle name="Red Text" xfId="4086" xr:uid="{00000000-0005-0000-0000-000047100000}"/>
    <cellStyle name="Red Text 2" xfId="27873" xr:uid="{00000000-0005-0000-0000-000048100000}"/>
    <cellStyle name="Red Text 2 2" xfId="27962" xr:uid="{00000000-0005-0000-0000-000049100000}"/>
    <cellStyle name="Red Text 2 2 2" xfId="28176" xr:uid="{00000000-0005-0000-0000-00004A100000}"/>
    <cellStyle name="Red Text 2 3" xfId="28195" xr:uid="{00000000-0005-0000-0000-00004B100000}"/>
    <cellStyle name="Ref Numbers" xfId="4087" xr:uid="{00000000-0005-0000-0000-00004C100000}"/>
    <cellStyle name="Regroupement_Entete" xfId="4088" xr:uid="{00000000-0005-0000-0000-00004D100000}"/>
    <cellStyle name="regstoresfromspecstores" xfId="4089" xr:uid="{00000000-0005-0000-0000-00004E100000}"/>
    <cellStyle name="Reporting Bold" xfId="4090" xr:uid="{00000000-0005-0000-0000-00004F100000}"/>
    <cellStyle name="Reporting Bold 12" xfId="4091" xr:uid="{00000000-0005-0000-0000-000050100000}"/>
    <cellStyle name="Reporting Bold 14" xfId="4092" xr:uid="{00000000-0005-0000-0000-000051100000}"/>
    <cellStyle name="Reporting Bold_34TX-1 Client Assistance Package 2006" xfId="4093" xr:uid="{00000000-0005-0000-0000-000052100000}"/>
    <cellStyle name="Reporting Normal" xfId="4094" xr:uid="{00000000-0005-0000-0000-000053100000}"/>
    <cellStyle name="ReportTitlePrompt" xfId="4095" xr:uid="{00000000-0005-0000-0000-000054100000}"/>
    <cellStyle name="ReportTitleValue" xfId="4096" xr:uid="{00000000-0005-0000-0000-000055100000}"/>
    <cellStyle name="res" xfId="4097" xr:uid="{00000000-0005-0000-0000-000056100000}"/>
    <cellStyle name="res 2" xfId="4098" xr:uid="{00000000-0005-0000-0000-000057100000}"/>
    <cellStyle name="result" xfId="4099" xr:uid="{00000000-0005-0000-0000-000058100000}"/>
    <cellStyle name="Resultat" xfId="4100" xr:uid="{00000000-0005-0000-0000-000059100000}"/>
    <cellStyle name="Resultat 2" xfId="27874" xr:uid="{00000000-0005-0000-0000-00005A100000}"/>
    <cellStyle name="Reverse Percent" xfId="4101" xr:uid="{00000000-0005-0000-0000-00005B100000}"/>
    <cellStyle name="Reverse variance" xfId="4102" xr:uid="{00000000-0005-0000-0000-00005C100000}"/>
    <cellStyle name="RevList" xfId="4103" xr:uid="{00000000-0005-0000-0000-00005D100000}"/>
    <cellStyle name="rgith1" xfId="4104" xr:uid="{00000000-0005-0000-0000-00005E100000}"/>
    <cellStyle name="righ2" xfId="4105" xr:uid="{00000000-0005-0000-0000-00005F100000}"/>
    <cellStyle name="Right" xfId="4106" xr:uid="{00000000-0005-0000-0000-000060100000}"/>
    <cellStyle name="right1" xfId="4107" xr:uid="{00000000-0005-0000-0000-000061100000}"/>
    <cellStyle name="right1`" xfId="4108" xr:uid="{00000000-0005-0000-0000-000062100000}"/>
    <cellStyle name="right2" xfId="4109" xr:uid="{00000000-0005-0000-0000-000063100000}"/>
    <cellStyle name="right3" xfId="4110" xr:uid="{00000000-0005-0000-0000-000064100000}"/>
    <cellStyle name="rightb" xfId="4111" xr:uid="{00000000-0005-0000-0000-000065100000}"/>
    <cellStyle name="rigjt" xfId="4112" xr:uid="{00000000-0005-0000-0000-000066100000}"/>
    <cellStyle name="rigt" xfId="4113" xr:uid="{00000000-0005-0000-0000-000067100000}"/>
    <cellStyle name="RM" xfId="4114" xr:uid="{00000000-0005-0000-0000-000068100000}"/>
    <cellStyle name="Rounding" xfId="4115" xr:uid="{00000000-0005-0000-0000-000069100000}"/>
    <cellStyle name="RowAcctAbovePrompt" xfId="4116" xr:uid="{00000000-0005-0000-0000-00006A100000}"/>
    <cellStyle name="RowAcctSOBAbovePrompt" xfId="4117" xr:uid="{00000000-0005-0000-0000-00006B100000}"/>
    <cellStyle name="RowAcctSOBValue" xfId="4118" xr:uid="{00000000-0005-0000-0000-00006C100000}"/>
    <cellStyle name="RowAcctValue" xfId="4119" xr:uid="{00000000-0005-0000-0000-00006D100000}"/>
    <cellStyle name="RowAttrAbovePrompt" xfId="4120" xr:uid="{00000000-0005-0000-0000-00006E100000}"/>
    <cellStyle name="RowAttrValue" xfId="4121" xr:uid="{00000000-0005-0000-0000-00006F100000}"/>
    <cellStyle name="RowColSetAbovePrompt" xfId="4122" xr:uid="{00000000-0005-0000-0000-000070100000}"/>
    <cellStyle name="RowColSetLeftPrompt" xfId="4123" xr:uid="{00000000-0005-0000-0000-000071100000}"/>
    <cellStyle name="RowColSetValue" xfId="4124" xr:uid="{00000000-0005-0000-0000-000072100000}"/>
    <cellStyle name="RowLeftPrompt" xfId="4125" xr:uid="{00000000-0005-0000-0000-000073100000}"/>
    <cellStyle name="rse" xfId="4126" xr:uid="{00000000-0005-0000-0000-000074100000}"/>
    <cellStyle name="s" xfId="4127" xr:uid="{00000000-0005-0000-0000-000075100000}"/>
    <cellStyle name="s_Acc (Dil) Matrix (2)" xfId="4128" xr:uid="{00000000-0005-0000-0000-000076100000}"/>
    <cellStyle name="s_Acc (Dil) Matrix (2)_1" xfId="4129" xr:uid="{00000000-0005-0000-0000-000077100000}"/>
    <cellStyle name="s_Acc (Dil) Matrix (2)_2" xfId="4130" xr:uid="{00000000-0005-0000-0000-000078100000}"/>
    <cellStyle name="s_Acc (Dil) Matrix (2)_2_Celtic DCF" xfId="4131" xr:uid="{00000000-0005-0000-0000-000079100000}"/>
    <cellStyle name="s_Acc (Dil) Matrix (2)_2_Celtic DCF Inputs" xfId="4132" xr:uid="{00000000-0005-0000-0000-00007A100000}"/>
    <cellStyle name="s_Acc (Dil) Matrix (2)_2_Valuation Summary" xfId="4133" xr:uid="{00000000-0005-0000-0000-00007B100000}"/>
    <cellStyle name="s_Ariz_Nevada (2)" xfId="4134" xr:uid="{00000000-0005-0000-0000-00007C100000}"/>
    <cellStyle name="s_Ariz_Nevada (2)_1" xfId="4135" xr:uid="{00000000-0005-0000-0000-00007D100000}"/>
    <cellStyle name="s_ATL" xfId="4136" xr:uid="{00000000-0005-0000-0000-00007E100000}"/>
    <cellStyle name="s_Back-up" xfId="4137" xr:uid="{00000000-0005-0000-0000-00007F100000}"/>
    <cellStyle name="s_Baltimore" xfId="4138" xr:uid="{00000000-0005-0000-0000-000080100000}"/>
    <cellStyle name="s_Bondholders" xfId="4139" xr:uid="{00000000-0005-0000-0000-000081100000}"/>
    <cellStyle name="s_Boston" xfId="4140" xr:uid="{00000000-0005-0000-0000-000082100000}"/>
    <cellStyle name="s_CA Cases (2)" xfId="4141" xr:uid="{00000000-0005-0000-0000-000083100000}"/>
    <cellStyle name="s_CA Cases (2)_1" xfId="4142" xr:uid="{00000000-0005-0000-0000-000084100000}"/>
    <cellStyle name="s_CA Cases (2)_Celtic DCF" xfId="4143" xr:uid="{00000000-0005-0000-0000-000085100000}"/>
    <cellStyle name="s_CA Cases (2)_Celtic DCF Inputs" xfId="4144" xr:uid="{00000000-0005-0000-0000-000086100000}"/>
    <cellStyle name="s_CA Cases (2)_Valuation Summary" xfId="4145" xr:uid="{00000000-0005-0000-0000-000087100000}"/>
    <cellStyle name="s_Cal. (2)" xfId="4146" xr:uid="{00000000-0005-0000-0000-000088100000}"/>
    <cellStyle name="s_Cal. (2)_1" xfId="4147" xr:uid="{00000000-0005-0000-0000-000089100000}"/>
    <cellStyle name="s_Cases (2)" xfId="4148" xr:uid="{00000000-0005-0000-0000-00008A100000}"/>
    <cellStyle name="s_Cases (2)_1" xfId="4149" xr:uid="{00000000-0005-0000-0000-00008B100000}"/>
    <cellStyle name="s_Cases (2)_Celtic DCF" xfId="4150" xr:uid="{00000000-0005-0000-0000-00008C100000}"/>
    <cellStyle name="s_Cases (2)_Celtic DCF Inputs" xfId="4151" xr:uid="{00000000-0005-0000-0000-00008D100000}"/>
    <cellStyle name="s_Cases (2)_Valuation Summary" xfId="4152" xr:uid="{00000000-0005-0000-0000-00008E100000}"/>
    <cellStyle name="s_Celtic DCF" xfId="4153" xr:uid="{00000000-0005-0000-0000-00008F100000}"/>
    <cellStyle name="s_Celtic DCF Inputs" xfId="4154" xr:uid="{00000000-0005-0000-0000-000090100000}"/>
    <cellStyle name="s_Celtic DCF Inputs_1" xfId="4155" xr:uid="{00000000-0005-0000-0000-000091100000}"/>
    <cellStyle name="s_Celtic DCF_1" xfId="4156" xr:uid="{00000000-0005-0000-0000-000092100000}"/>
    <cellStyle name="s_CHI" xfId="4157" xr:uid="{00000000-0005-0000-0000-000093100000}"/>
    <cellStyle name="s_Company" xfId="4158" xr:uid="{00000000-0005-0000-0000-000094100000}"/>
    <cellStyle name="s_Consol.CF" xfId="4159" xr:uid="{00000000-0005-0000-0000-000095100000}"/>
    <cellStyle name="s_Consol.Debt" xfId="4160" xr:uid="{00000000-0005-0000-0000-000096100000}"/>
    <cellStyle name="s_Consol.IS" xfId="4161" xr:uid="{00000000-0005-0000-0000-000097100000}"/>
    <cellStyle name="s_Control" xfId="4162" xr:uid="{00000000-0005-0000-0000-000098100000}"/>
    <cellStyle name="s_Credit" xfId="4163" xr:uid="{00000000-0005-0000-0000-000099100000}"/>
    <cellStyle name="s_Credit Buildup (2)" xfId="4164" xr:uid="{00000000-0005-0000-0000-00009A100000}"/>
    <cellStyle name="s_Credit Buildup (2)_1" xfId="4165" xr:uid="{00000000-0005-0000-0000-00009B100000}"/>
    <cellStyle name="s_Credit Buildup (2)_Celtic DCF" xfId="4166" xr:uid="{00000000-0005-0000-0000-00009C100000}"/>
    <cellStyle name="s_Credit Buildup (2)_Celtic DCF Inputs" xfId="4167" xr:uid="{00000000-0005-0000-0000-00009D100000}"/>
    <cellStyle name="s_Credit Buildup (2)_Valuation Summary" xfId="4168" xr:uid="{00000000-0005-0000-0000-00009E100000}"/>
    <cellStyle name="s_CredSens" xfId="4169" xr:uid="{00000000-0005-0000-0000-00009F100000}"/>
    <cellStyle name="s_CredSens_1" xfId="4170" xr:uid="{00000000-0005-0000-0000-0000A0100000}"/>
    <cellStyle name="s_CredSens_2" xfId="4171" xr:uid="{00000000-0005-0000-0000-0000A1100000}"/>
    <cellStyle name="s_CredSens_Celtic DCF" xfId="4172" xr:uid="{00000000-0005-0000-0000-0000A2100000}"/>
    <cellStyle name="s_CredSens_Celtic DCF Inputs" xfId="4173" xr:uid="{00000000-0005-0000-0000-0000A3100000}"/>
    <cellStyle name="s_CredSens_Valuation Summary" xfId="4174" xr:uid="{00000000-0005-0000-0000-0000A4100000}"/>
    <cellStyle name="s_DAL" xfId="4175" xr:uid="{00000000-0005-0000-0000-0000A5100000}"/>
    <cellStyle name="s_Data1" xfId="4176" xr:uid="{00000000-0005-0000-0000-0000A6100000}"/>
    <cellStyle name="s_Data2" xfId="4177" xr:uid="{00000000-0005-0000-0000-0000A7100000}"/>
    <cellStyle name="s_DC" xfId="4178" xr:uid="{00000000-0005-0000-0000-0000A8100000}"/>
    <cellStyle name="s_DCF Inputs (2)" xfId="4179" xr:uid="{00000000-0005-0000-0000-0000A9100000}"/>
    <cellStyle name="s_DCF Inputs (2)_1" xfId="4180" xr:uid="{00000000-0005-0000-0000-0000AA100000}"/>
    <cellStyle name="s_DCF Inputs (2)_1_Celtic DCF" xfId="4181" xr:uid="{00000000-0005-0000-0000-0000AB100000}"/>
    <cellStyle name="s_DCF Inputs (2)_1_Celtic DCF Inputs" xfId="4182" xr:uid="{00000000-0005-0000-0000-0000AC100000}"/>
    <cellStyle name="s_DCF Inputs (2)_1_Valuation Summary" xfId="4183" xr:uid="{00000000-0005-0000-0000-0000AD100000}"/>
    <cellStyle name="s_DCF Matrix (2)" xfId="4184" xr:uid="{00000000-0005-0000-0000-0000AE100000}"/>
    <cellStyle name="s_DCF Matrix (2)_1" xfId="4185" xr:uid="{00000000-0005-0000-0000-0000AF100000}"/>
    <cellStyle name="s_DCF Matrix (2)_2" xfId="4186" xr:uid="{00000000-0005-0000-0000-0000B0100000}"/>
    <cellStyle name="s_DCF Matrix (2)_2_Celtic DCF" xfId="4187" xr:uid="{00000000-0005-0000-0000-0000B1100000}"/>
    <cellStyle name="s_DCF Matrix (2)_2_Celtic DCF Inputs" xfId="4188" xr:uid="{00000000-0005-0000-0000-0000B2100000}"/>
    <cellStyle name="s_DCF Matrix (2)_2_Valuation Summary" xfId="4189" xr:uid="{00000000-0005-0000-0000-0000B3100000}"/>
    <cellStyle name="s_DCFLBO Code" xfId="4190" xr:uid="{00000000-0005-0000-0000-0000B4100000}"/>
    <cellStyle name="s_DCFLBO Code_1" xfId="4191" xr:uid="{00000000-0005-0000-0000-0000B5100000}"/>
    <cellStyle name="s_DCFLBO Code_Celtic DCF" xfId="4192" xr:uid="{00000000-0005-0000-0000-0000B6100000}"/>
    <cellStyle name="s_DCFLBO Code_Celtic DCF Inputs" xfId="4193" xr:uid="{00000000-0005-0000-0000-0000B7100000}"/>
    <cellStyle name="s_DCFLBO Code_Comcast CATV Segment 11.19.03 (Sensitivity)" xfId="4194" xr:uid="{00000000-0005-0000-0000-0000B8100000}"/>
    <cellStyle name="s_DCFLBO Code_Comcast CATV Segment 11.19.03 (Sub)" xfId="4195" xr:uid="{00000000-0005-0000-0000-0000B9100000}"/>
    <cellStyle name="s_DCFLBO Code_DCF3" xfId="4196" xr:uid="{00000000-0005-0000-0000-0000BA100000}"/>
    <cellStyle name="s_DCFLBO Code_Kimono v16" xfId="4197" xr:uid="{00000000-0005-0000-0000-0000BB100000}"/>
    <cellStyle name="s_DCFLBO Code_Rolex-Timex" xfId="4198" xr:uid="{00000000-0005-0000-0000-0000BC100000}"/>
    <cellStyle name="s_DCFLBO Code_Valuation Summary" xfId="4199" xr:uid="{00000000-0005-0000-0000-0000BD100000}"/>
    <cellStyle name="s_Deal" xfId="4200" xr:uid="{00000000-0005-0000-0000-0000BE100000}"/>
    <cellStyle name="s_Deal_1" xfId="4201" xr:uid="{00000000-0005-0000-0000-0000BF100000}"/>
    <cellStyle name="s_Deal_2" xfId="4202" xr:uid="{00000000-0005-0000-0000-0000C0100000}"/>
    <cellStyle name="s_Dental (2)" xfId="4203" xr:uid="{00000000-0005-0000-0000-0000C1100000}"/>
    <cellStyle name="s_Dental (2)_1" xfId="4204" xr:uid="{00000000-0005-0000-0000-0000C2100000}"/>
    <cellStyle name="s_Dental (2)_2" xfId="4205" xr:uid="{00000000-0005-0000-0000-0000C3100000}"/>
    <cellStyle name="s_Dental (2)_2_Celtic DCF" xfId="4206" xr:uid="{00000000-0005-0000-0000-0000C4100000}"/>
    <cellStyle name="s_Dental (2)_2_Celtic DCF Inputs" xfId="4207" xr:uid="{00000000-0005-0000-0000-0000C5100000}"/>
    <cellStyle name="s_Dental (2)_2_Valuation Summary" xfId="4208" xr:uid="{00000000-0005-0000-0000-0000C6100000}"/>
    <cellStyle name="s_Detroit" xfId="4209" xr:uid="{00000000-0005-0000-0000-0000C7100000}"/>
    <cellStyle name="s_E (2)" xfId="4210" xr:uid="{00000000-0005-0000-0000-0000C8100000}"/>
    <cellStyle name="s_E (2)_1" xfId="4211" xr:uid="{00000000-0005-0000-0000-0000C9100000}"/>
    <cellStyle name="s_East Coast (2)" xfId="4212" xr:uid="{00000000-0005-0000-0000-0000CA100000}"/>
    <cellStyle name="s_East Coast (2)_1" xfId="4213" xr:uid="{00000000-0005-0000-0000-0000CB100000}"/>
    <cellStyle name="s_East Coast (2)_2" xfId="4214" xr:uid="{00000000-0005-0000-0000-0000CC100000}"/>
    <cellStyle name="s_Financials" xfId="4215" xr:uid="{00000000-0005-0000-0000-0000CD100000}"/>
    <cellStyle name="s_Florida (2)" xfId="4216" xr:uid="{00000000-0005-0000-0000-0000CE100000}"/>
    <cellStyle name="s_Florida (2)_1" xfId="4217" xr:uid="{00000000-0005-0000-0000-0000CF100000}"/>
    <cellStyle name="s_Florida (2)_2" xfId="4218" xr:uid="{00000000-0005-0000-0000-0000D0100000}"/>
    <cellStyle name="s_G" xfId="4219" xr:uid="{00000000-0005-0000-0000-0000D1100000}"/>
    <cellStyle name="s_G_1" xfId="4220" xr:uid="{00000000-0005-0000-0000-0000D2100000}"/>
    <cellStyle name="s_Georgia (2)" xfId="4221" xr:uid="{00000000-0005-0000-0000-0000D3100000}"/>
    <cellStyle name="s_Georgia (2)_1" xfId="4222" xr:uid="{00000000-0005-0000-0000-0000D4100000}"/>
    <cellStyle name="s_Hard Rock" xfId="4223" xr:uid="{00000000-0005-0000-0000-0000D5100000}"/>
    <cellStyle name="s_Hard Rock (2)" xfId="4224" xr:uid="{00000000-0005-0000-0000-0000D6100000}"/>
    <cellStyle name="s_Hard Rock (2)_1" xfId="4225" xr:uid="{00000000-0005-0000-0000-0000D7100000}"/>
    <cellStyle name="s_Hard Rock (2)_Celtic DCF" xfId="4226" xr:uid="{00000000-0005-0000-0000-0000D8100000}"/>
    <cellStyle name="s_Hard Rock (2)_Celtic DCF Inputs" xfId="4227" xr:uid="{00000000-0005-0000-0000-0000D9100000}"/>
    <cellStyle name="s_Hard Rock (2)_Valuation Summary" xfId="4228" xr:uid="{00000000-0005-0000-0000-0000DA100000}"/>
    <cellStyle name="s_Hard Rock_1" xfId="4229" xr:uid="{00000000-0005-0000-0000-0000DB100000}"/>
    <cellStyle name="s_Hard Rock_1_Celtic DCF" xfId="4230" xr:uid="{00000000-0005-0000-0000-0000DC100000}"/>
    <cellStyle name="s_Hard Rock_1_Celtic DCF Inputs" xfId="4231" xr:uid="{00000000-0005-0000-0000-0000DD100000}"/>
    <cellStyle name="s_Hard Rock_1_Valuation Summary" xfId="4232" xr:uid="{00000000-0005-0000-0000-0000DE100000}"/>
    <cellStyle name="s_Hard Rock_2" xfId="4233" xr:uid="{00000000-0005-0000-0000-0000DF100000}"/>
    <cellStyle name="s_HardInc " xfId="4234" xr:uid="{00000000-0005-0000-0000-0000E0100000}"/>
    <cellStyle name="s_HardInc  (2)" xfId="4235" xr:uid="{00000000-0005-0000-0000-0000E1100000}"/>
    <cellStyle name="s_HardInc  (2)_1" xfId="4236" xr:uid="{00000000-0005-0000-0000-0000E2100000}"/>
    <cellStyle name="s_HardInc  (2)_2" xfId="4237" xr:uid="{00000000-0005-0000-0000-0000E3100000}"/>
    <cellStyle name="s_HardInc  (2)_Celtic DCF" xfId="4238" xr:uid="{00000000-0005-0000-0000-0000E4100000}"/>
    <cellStyle name="s_HardInc  (2)_Celtic DCF Inputs" xfId="4239" xr:uid="{00000000-0005-0000-0000-0000E5100000}"/>
    <cellStyle name="s_HardInc  (2)_Valuation Summary" xfId="4240" xr:uid="{00000000-0005-0000-0000-0000E6100000}"/>
    <cellStyle name="s_HardInc _Celtic DCF" xfId="4241" xr:uid="{00000000-0005-0000-0000-0000E7100000}"/>
    <cellStyle name="s_HardInc _Celtic DCF Inputs" xfId="4242" xr:uid="{00000000-0005-0000-0000-0000E8100000}"/>
    <cellStyle name="s_HardInc _Valuation Summary" xfId="4243" xr:uid="{00000000-0005-0000-0000-0000E9100000}"/>
    <cellStyle name="s_Has-Gets (2)" xfId="4244" xr:uid="{00000000-0005-0000-0000-0000EA100000}"/>
    <cellStyle name="s_Has-Gets (2)_1" xfId="4245" xr:uid="{00000000-0005-0000-0000-0000EB100000}"/>
    <cellStyle name="s_Houston" xfId="4246" xr:uid="{00000000-0005-0000-0000-0000EC100000}"/>
    <cellStyle name="s_IRR Sensitivity (2)" xfId="4247" xr:uid="{00000000-0005-0000-0000-0000ED100000}"/>
    <cellStyle name="s_IRR Sensitivity (2)_1" xfId="4248" xr:uid="{00000000-0005-0000-0000-0000EE100000}"/>
    <cellStyle name="s_IRR Sensitivity (2)_2" xfId="4249" xr:uid="{00000000-0005-0000-0000-0000EF100000}"/>
    <cellStyle name="s_LA" xfId="4250" xr:uid="{00000000-0005-0000-0000-0000F0100000}"/>
    <cellStyle name="s_LBO-Temp" xfId="4251" xr:uid="{00000000-0005-0000-0000-0000F1100000}"/>
    <cellStyle name="s_LBO-Temp_1" xfId="4252" xr:uid="{00000000-0005-0000-0000-0000F2100000}"/>
    <cellStyle name="s_Mango Merger" xfId="4253" xr:uid="{00000000-0005-0000-0000-0000F3100000}"/>
    <cellStyle name="s_Mango Merger 3" xfId="4254" xr:uid="{00000000-0005-0000-0000-0000F4100000}"/>
    <cellStyle name="s_Mango Merger 3_1" xfId="4255" xr:uid="{00000000-0005-0000-0000-0000F5100000}"/>
    <cellStyle name="s_Mango Merger 3_2" xfId="4256" xr:uid="{00000000-0005-0000-0000-0000F6100000}"/>
    <cellStyle name="s_Mango Merger_1" xfId="4257" xr:uid="{00000000-0005-0000-0000-0000F7100000}"/>
    <cellStyle name="s_Miami" xfId="4258" xr:uid="{00000000-0005-0000-0000-0000F8100000}"/>
    <cellStyle name="s_Model Assumptions (2)" xfId="4259" xr:uid="{00000000-0005-0000-0000-0000F9100000}"/>
    <cellStyle name="s_Model Assumptions (2)_1" xfId="4260" xr:uid="{00000000-0005-0000-0000-0000FA100000}"/>
    <cellStyle name="s_Module1 (2)" xfId="4261" xr:uid="{00000000-0005-0000-0000-0000FB100000}"/>
    <cellStyle name="s_NY" xfId="4262" xr:uid="{00000000-0005-0000-0000-0000FC100000}"/>
    <cellStyle name="s_OBGYN (2)" xfId="4263" xr:uid="{00000000-0005-0000-0000-0000FD100000}"/>
    <cellStyle name="s_OBGYN (2)_1" xfId="4264" xr:uid="{00000000-0005-0000-0000-0000FE100000}"/>
    <cellStyle name="s_OBGYN (2)_2" xfId="4265" xr:uid="{00000000-0005-0000-0000-0000FF100000}"/>
    <cellStyle name="s_Other Businesses (2)" xfId="4266" xr:uid="{00000000-0005-0000-0000-000000110000}"/>
    <cellStyle name="s_Other Businesses (2)_1" xfId="4267" xr:uid="{00000000-0005-0000-0000-000001110000}"/>
    <cellStyle name="s_Other Businesses (2)_2" xfId="4268" xr:uid="{00000000-0005-0000-0000-000002110000}"/>
    <cellStyle name="s_Ownership" xfId="4269" xr:uid="{00000000-0005-0000-0000-000003110000}"/>
    <cellStyle name="s_Ownership_1" xfId="4270" xr:uid="{00000000-0005-0000-0000-000004110000}"/>
    <cellStyle name="s_PFMA Income (2)" xfId="4271" xr:uid="{00000000-0005-0000-0000-000005110000}"/>
    <cellStyle name="s_PFMA Income (2)_1" xfId="4272" xr:uid="{00000000-0005-0000-0000-000006110000}"/>
    <cellStyle name="s_PFMA Income (2)_2" xfId="4273" xr:uid="{00000000-0005-0000-0000-000007110000}"/>
    <cellStyle name="s_PFMA Income (2)_2_Celtic DCF" xfId="4274" xr:uid="{00000000-0005-0000-0000-000008110000}"/>
    <cellStyle name="s_PFMA Income (2)_2_Celtic DCF Inputs" xfId="4275" xr:uid="{00000000-0005-0000-0000-000009110000}"/>
    <cellStyle name="s_PFMA Income (2)_2_Valuation Summary" xfId="4276" xr:uid="{00000000-0005-0000-0000-00000A110000}"/>
    <cellStyle name="s_Philly" xfId="4277" xr:uid="{00000000-0005-0000-0000-00000B110000}"/>
    <cellStyle name="s_Pippen (2)" xfId="4278" xr:uid="{00000000-0005-0000-0000-00000C110000}"/>
    <cellStyle name="s_Pippen (2)_1" xfId="4279" xr:uid="{00000000-0005-0000-0000-00000D110000}"/>
    <cellStyle name="s_Pippen Cases (2)" xfId="4280" xr:uid="{00000000-0005-0000-0000-00000E110000}"/>
    <cellStyle name="s_Pippen Cases (2)_1" xfId="4281" xr:uid="{00000000-0005-0000-0000-00000F110000}"/>
    <cellStyle name="s_Pippen ValMatrix (2)" xfId="4282" xr:uid="{00000000-0005-0000-0000-000010110000}"/>
    <cellStyle name="s_Pippen ValMatrix (2)_1" xfId="4283" xr:uid="{00000000-0005-0000-0000-000011110000}"/>
    <cellStyle name="s_PMAT (2)" xfId="4284" xr:uid="{00000000-0005-0000-0000-000012110000}"/>
    <cellStyle name="s_PMAT (2)_1" xfId="4285" xr:uid="{00000000-0005-0000-0000-000013110000}"/>
    <cellStyle name="s_PMAT (2)_Celtic DCF" xfId="4286" xr:uid="{00000000-0005-0000-0000-000014110000}"/>
    <cellStyle name="s_PMAT (2)_Celtic DCF Inputs" xfId="4287" xr:uid="{00000000-0005-0000-0000-000015110000}"/>
    <cellStyle name="s_PMAT (2)_Valuation Summary" xfId="4288" xr:uid="{00000000-0005-0000-0000-000016110000}"/>
    <cellStyle name="s_PMAT (3)" xfId="4289" xr:uid="{00000000-0005-0000-0000-000017110000}"/>
    <cellStyle name="s_PMAT (3)_1" xfId="4290" xr:uid="{00000000-0005-0000-0000-000018110000}"/>
    <cellStyle name="s_PMAT (3)_2" xfId="4291" xr:uid="{00000000-0005-0000-0000-000019110000}"/>
    <cellStyle name="s_PMAT (3)_Celtic DCF" xfId="4292" xr:uid="{00000000-0005-0000-0000-00001A110000}"/>
    <cellStyle name="s_PMAT (3)_Celtic DCF Inputs" xfId="4293" xr:uid="{00000000-0005-0000-0000-00001B110000}"/>
    <cellStyle name="s_PMAT (3)_Valuation Summary" xfId="4294" xr:uid="{00000000-0005-0000-0000-00001C110000}"/>
    <cellStyle name="s_PoundInc" xfId="4295" xr:uid="{00000000-0005-0000-0000-00001D110000}"/>
    <cellStyle name="s_PoundInc (2)" xfId="4296" xr:uid="{00000000-0005-0000-0000-00001E110000}"/>
    <cellStyle name="s_PoundInc (2)_1" xfId="4297" xr:uid="{00000000-0005-0000-0000-00001F110000}"/>
    <cellStyle name="s_PoundInc (2)_1_Celtic DCF" xfId="4298" xr:uid="{00000000-0005-0000-0000-000020110000}"/>
    <cellStyle name="s_PoundInc (2)_1_Celtic DCF Inputs" xfId="4299" xr:uid="{00000000-0005-0000-0000-000021110000}"/>
    <cellStyle name="s_PoundInc (2)_1_Valuation Summary" xfId="4300" xr:uid="{00000000-0005-0000-0000-000022110000}"/>
    <cellStyle name="s_PoundInc (2)_2" xfId="4301" xr:uid="{00000000-0005-0000-0000-000023110000}"/>
    <cellStyle name="s_PoundInc_Celtic DCF" xfId="4302" xr:uid="{00000000-0005-0000-0000-000024110000}"/>
    <cellStyle name="s_PoundInc_Celtic DCF Inputs" xfId="4303" xr:uid="{00000000-0005-0000-0000-000025110000}"/>
    <cellStyle name="s_PoundInc_Valuation Summary" xfId="4304" xr:uid="{00000000-0005-0000-0000-000026110000}"/>
    <cellStyle name="s_Poundstone (2)" xfId="4305" xr:uid="{00000000-0005-0000-0000-000027110000}"/>
    <cellStyle name="s_Poundstone (2)_1" xfId="4306" xr:uid="{00000000-0005-0000-0000-000028110000}"/>
    <cellStyle name="s_Poundstone (2)_2" xfId="4307" xr:uid="{00000000-0005-0000-0000-000029110000}"/>
    <cellStyle name="s_Poundstone (2)_Celtic DCF" xfId="4308" xr:uid="{00000000-0005-0000-0000-00002A110000}"/>
    <cellStyle name="s_Poundstone (2)_Celtic DCF Inputs" xfId="4309" xr:uid="{00000000-0005-0000-0000-00002B110000}"/>
    <cellStyle name="s_Poundstone (2)_Valuation Summary" xfId="4310" xr:uid="{00000000-0005-0000-0000-00002C110000}"/>
    <cellStyle name="s_Preliminary Poundstone (2)" xfId="4311" xr:uid="{00000000-0005-0000-0000-00002D110000}"/>
    <cellStyle name="s_Preliminary Poundstone (2)_1" xfId="4312" xr:uid="{00000000-0005-0000-0000-00002E110000}"/>
    <cellStyle name="s_Returns" xfId="4313" xr:uid="{00000000-0005-0000-0000-00002F110000}"/>
    <cellStyle name="s_Rolex-Timex" xfId="4314" xr:uid="{00000000-0005-0000-0000-000030110000}"/>
    <cellStyle name="s_Rolex-Timex_1" xfId="4315" xr:uid="{00000000-0005-0000-0000-000031110000}"/>
    <cellStyle name="s_RushValSum (2)" xfId="4316" xr:uid="{00000000-0005-0000-0000-000032110000}"/>
    <cellStyle name="s_RushValSum (2)_1" xfId="4317" xr:uid="{00000000-0005-0000-0000-000033110000}"/>
    <cellStyle name="s_RushValSum (2)_2" xfId="4318" xr:uid="{00000000-0005-0000-0000-000034110000}"/>
    <cellStyle name="s_RushValSum (2)_Celtic DCF" xfId="4319" xr:uid="{00000000-0005-0000-0000-000035110000}"/>
    <cellStyle name="s_RushValSum (2)_Celtic DCF Inputs" xfId="4320" xr:uid="{00000000-0005-0000-0000-000036110000}"/>
    <cellStyle name="s_RushValSum (2)_Valuation Summary" xfId="4321" xr:uid="{00000000-0005-0000-0000-000037110000}"/>
    <cellStyle name="s_SD" xfId="4322" xr:uid="{00000000-0005-0000-0000-000038110000}"/>
    <cellStyle name="s_SF" xfId="4323" xr:uid="{00000000-0005-0000-0000-000039110000}"/>
    <cellStyle name="s_Stle,Dvr,Clevld, St. Lou" xfId="4324" xr:uid="{00000000-0005-0000-0000-00003A110000}"/>
    <cellStyle name="s_Stub Value" xfId="4325" xr:uid="{00000000-0005-0000-0000-00003B110000}"/>
    <cellStyle name="s_Stub Value_1" xfId="4326" xr:uid="{00000000-0005-0000-0000-00003C110000}"/>
    <cellStyle name="s_Summary of Pro Forma (2)" xfId="4327" xr:uid="{00000000-0005-0000-0000-00003D110000}"/>
    <cellStyle name="s_Summary of Pro Forma (2)_1" xfId="4328" xr:uid="{00000000-0005-0000-0000-00003E110000}"/>
    <cellStyle name="s_Summary of Pro Forma (2)_2" xfId="4329" xr:uid="{00000000-0005-0000-0000-00003F110000}"/>
    <cellStyle name="s_Summary of Pro Forma (2)_Celtic DCF" xfId="4330" xr:uid="{00000000-0005-0000-0000-000040110000}"/>
    <cellStyle name="s_Summary of Pro Forma (2)_Celtic DCF Inputs" xfId="4331" xr:uid="{00000000-0005-0000-0000-000041110000}"/>
    <cellStyle name="s_Summary of Pro Forma (2)_Valuation Summary" xfId="4332" xr:uid="{00000000-0005-0000-0000-000042110000}"/>
    <cellStyle name="s_Summary of Pro Forma (3)" xfId="4333" xr:uid="{00000000-0005-0000-0000-000043110000}"/>
    <cellStyle name="s_Summary of Pro Forma (3)_1" xfId="4334" xr:uid="{00000000-0005-0000-0000-000044110000}"/>
    <cellStyle name="s_Summary of Pro Forma (3)_Celtic DCF" xfId="4335" xr:uid="{00000000-0005-0000-0000-000045110000}"/>
    <cellStyle name="s_Summary of Pro Forma (3)_Celtic DCF Inputs" xfId="4336" xr:uid="{00000000-0005-0000-0000-000046110000}"/>
    <cellStyle name="s_Summary of Pro Forma (3)_Valuation Summary" xfId="4337" xr:uid="{00000000-0005-0000-0000-000047110000}"/>
    <cellStyle name="s_Texas_Louisiana (2)" xfId="4338" xr:uid="{00000000-0005-0000-0000-000048110000}"/>
    <cellStyle name="s_Texas_Louisiana (2)_1" xfId="4339" xr:uid="{00000000-0005-0000-0000-000049110000}"/>
    <cellStyle name="s_Timex-Gucci Merger2" xfId="4340" xr:uid="{00000000-0005-0000-0000-00004A110000}"/>
    <cellStyle name="s_Timex-Gucci Merger2_1" xfId="4341" xr:uid="{00000000-0005-0000-0000-00004B110000}"/>
    <cellStyle name="s_Valuation Summary" xfId="4342" xr:uid="{00000000-0005-0000-0000-00004C110000}"/>
    <cellStyle name="s_Valuation Summary (2)" xfId="4343" xr:uid="{00000000-0005-0000-0000-00004D110000}"/>
    <cellStyle name="s_Valuation Summary (2)_1" xfId="4344" xr:uid="{00000000-0005-0000-0000-00004E110000}"/>
    <cellStyle name="s_Valuation Summary (2)_1_Celtic DCF" xfId="4345" xr:uid="{00000000-0005-0000-0000-00004F110000}"/>
    <cellStyle name="s_Valuation Summary (2)_1_Celtic DCF Inputs" xfId="4346" xr:uid="{00000000-0005-0000-0000-000050110000}"/>
    <cellStyle name="s_Valuation Summary (2)_1_Valuation Summary" xfId="4347" xr:uid="{00000000-0005-0000-0000-000051110000}"/>
    <cellStyle name="s_Valuation Summary (2)_2" xfId="4348" xr:uid="{00000000-0005-0000-0000-000052110000}"/>
    <cellStyle name="s_Valuation Summary_1" xfId="4349" xr:uid="{00000000-0005-0000-0000-000053110000}"/>
    <cellStyle name="s_Valuation Summary_2" xfId="4350" xr:uid="{00000000-0005-0000-0000-000054110000}"/>
    <cellStyle name="s_Vendor Financing" xfId="4351" xr:uid="{00000000-0005-0000-0000-000055110000}"/>
    <cellStyle name="s_Warrant" xfId="4352" xr:uid="{00000000-0005-0000-0000-000056110000}"/>
    <cellStyle name="s_Warrant_1" xfId="4353" xr:uid="{00000000-0005-0000-0000-000057110000}"/>
    <cellStyle name="s_Warrant_2" xfId="4354" xr:uid="{00000000-0005-0000-0000-000058110000}"/>
    <cellStyle name="s_wts" xfId="4355" xr:uid="{00000000-0005-0000-0000-000059110000}"/>
    <cellStyle name="Salomon Logo" xfId="4356" xr:uid="{00000000-0005-0000-0000-00005A110000}"/>
    <cellStyle name="SampleUsingFormatMask" xfId="4357" xr:uid="{00000000-0005-0000-0000-00005B110000}"/>
    <cellStyle name="SampleWithNoFormatMask" xfId="4358" xr:uid="{00000000-0005-0000-0000-00005C110000}"/>
    <cellStyle name="SAPBEXaggData" xfId="4359" xr:uid="{00000000-0005-0000-0000-00005D110000}"/>
    <cellStyle name="SAPBEXaggData 10" xfId="4360" xr:uid="{00000000-0005-0000-0000-00005E110000}"/>
    <cellStyle name="SAPBEXaggData 10 2" xfId="4361" xr:uid="{00000000-0005-0000-0000-00005F110000}"/>
    <cellStyle name="SAPBEXaggData 10 3" xfId="4362" xr:uid="{00000000-0005-0000-0000-000060110000}"/>
    <cellStyle name="SAPBEXaggData 10 4" xfId="4363" xr:uid="{00000000-0005-0000-0000-000061110000}"/>
    <cellStyle name="SAPBEXaggData 10 5" xfId="4364" xr:uid="{00000000-0005-0000-0000-000062110000}"/>
    <cellStyle name="SAPBEXaggData 10 6" xfId="4365" xr:uid="{00000000-0005-0000-0000-000063110000}"/>
    <cellStyle name="SAPBEXaggData 11" xfId="4366" xr:uid="{00000000-0005-0000-0000-000064110000}"/>
    <cellStyle name="SAPBEXaggData 11 2" xfId="4367" xr:uid="{00000000-0005-0000-0000-000065110000}"/>
    <cellStyle name="SAPBEXaggData 11 3" xfId="4368" xr:uid="{00000000-0005-0000-0000-000066110000}"/>
    <cellStyle name="SAPBEXaggData 11 4" xfId="4369" xr:uid="{00000000-0005-0000-0000-000067110000}"/>
    <cellStyle name="SAPBEXaggData 11 5" xfId="4370" xr:uid="{00000000-0005-0000-0000-000068110000}"/>
    <cellStyle name="SAPBEXaggData 11 6" xfId="4371" xr:uid="{00000000-0005-0000-0000-000069110000}"/>
    <cellStyle name="SAPBEXaggData 12" xfId="4372" xr:uid="{00000000-0005-0000-0000-00006A110000}"/>
    <cellStyle name="SAPBEXaggData 12 2" xfId="4373" xr:uid="{00000000-0005-0000-0000-00006B110000}"/>
    <cellStyle name="SAPBEXaggData 12 3" xfId="4374" xr:uid="{00000000-0005-0000-0000-00006C110000}"/>
    <cellStyle name="SAPBEXaggData 12 4" xfId="4375" xr:uid="{00000000-0005-0000-0000-00006D110000}"/>
    <cellStyle name="SAPBEXaggData 12 5" xfId="4376" xr:uid="{00000000-0005-0000-0000-00006E110000}"/>
    <cellStyle name="SAPBEXaggData 12 6" xfId="4377" xr:uid="{00000000-0005-0000-0000-00006F110000}"/>
    <cellStyle name="SAPBEXaggData 13" xfId="4378" xr:uid="{00000000-0005-0000-0000-000070110000}"/>
    <cellStyle name="SAPBEXaggData 13 2" xfId="4379" xr:uid="{00000000-0005-0000-0000-000071110000}"/>
    <cellStyle name="SAPBEXaggData 13 3" xfId="4380" xr:uid="{00000000-0005-0000-0000-000072110000}"/>
    <cellStyle name="SAPBEXaggData 13 4" xfId="4381" xr:uid="{00000000-0005-0000-0000-000073110000}"/>
    <cellStyle name="SAPBEXaggData 13 5" xfId="4382" xr:uid="{00000000-0005-0000-0000-000074110000}"/>
    <cellStyle name="SAPBEXaggData 13 6" xfId="4383" xr:uid="{00000000-0005-0000-0000-000075110000}"/>
    <cellStyle name="SAPBEXaggData 14" xfId="4384" xr:uid="{00000000-0005-0000-0000-000076110000}"/>
    <cellStyle name="SAPBEXaggData 14 2" xfId="4385" xr:uid="{00000000-0005-0000-0000-000077110000}"/>
    <cellStyle name="SAPBEXaggData 14 3" xfId="4386" xr:uid="{00000000-0005-0000-0000-000078110000}"/>
    <cellStyle name="SAPBEXaggData 14 4" xfId="4387" xr:uid="{00000000-0005-0000-0000-000079110000}"/>
    <cellStyle name="SAPBEXaggData 14 5" xfId="4388" xr:uid="{00000000-0005-0000-0000-00007A110000}"/>
    <cellStyle name="SAPBEXaggData 14 6" xfId="4389" xr:uid="{00000000-0005-0000-0000-00007B110000}"/>
    <cellStyle name="SAPBEXaggData 15" xfId="4390" xr:uid="{00000000-0005-0000-0000-00007C110000}"/>
    <cellStyle name="SAPBEXaggData 15 2" xfId="4391" xr:uid="{00000000-0005-0000-0000-00007D110000}"/>
    <cellStyle name="SAPBEXaggData 15 3" xfId="4392" xr:uid="{00000000-0005-0000-0000-00007E110000}"/>
    <cellStyle name="SAPBEXaggData 15 4" xfId="4393" xr:uid="{00000000-0005-0000-0000-00007F110000}"/>
    <cellStyle name="SAPBEXaggData 15 5" xfId="4394" xr:uid="{00000000-0005-0000-0000-000080110000}"/>
    <cellStyle name="SAPBEXaggData 15 6" xfId="4395" xr:uid="{00000000-0005-0000-0000-000081110000}"/>
    <cellStyle name="SAPBEXaggData 16" xfId="4396" xr:uid="{00000000-0005-0000-0000-000082110000}"/>
    <cellStyle name="SAPBEXaggData 16 2" xfId="4397" xr:uid="{00000000-0005-0000-0000-000083110000}"/>
    <cellStyle name="SAPBEXaggData 16 3" xfId="4398" xr:uid="{00000000-0005-0000-0000-000084110000}"/>
    <cellStyle name="SAPBEXaggData 16 4" xfId="4399" xr:uid="{00000000-0005-0000-0000-000085110000}"/>
    <cellStyle name="SAPBEXaggData 16 5" xfId="4400" xr:uid="{00000000-0005-0000-0000-000086110000}"/>
    <cellStyle name="SAPBEXaggData 16 6" xfId="4401" xr:uid="{00000000-0005-0000-0000-000087110000}"/>
    <cellStyle name="SAPBEXaggData 17" xfId="4402" xr:uid="{00000000-0005-0000-0000-000088110000}"/>
    <cellStyle name="SAPBEXaggData 17 2" xfId="4403" xr:uid="{00000000-0005-0000-0000-000089110000}"/>
    <cellStyle name="SAPBEXaggData 17 3" xfId="4404" xr:uid="{00000000-0005-0000-0000-00008A110000}"/>
    <cellStyle name="SAPBEXaggData 17 4" xfId="4405" xr:uid="{00000000-0005-0000-0000-00008B110000}"/>
    <cellStyle name="SAPBEXaggData 17 5" xfId="4406" xr:uid="{00000000-0005-0000-0000-00008C110000}"/>
    <cellStyle name="SAPBEXaggData 17 6" xfId="4407" xr:uid="{00000000-0005-0000-0000-00008D110000}"/>
    <cellStyle name="SAPBEXaggData 18" xfId="4408" xr:uid="{00000000-0005-0000-0000-00008E110000}"/>
    <cellStyle name="SAPBEXaggData 18 2" xfId="4409" xr:uid="{00000000-0005-0000-0000-00008F110000}"/>
    <cellStyle name="SAPBEXaggData 18 3" xfId="4410" xr:uid="{00000000-0005-0000-0000-000090110000}"/>
    <cellStyle name="SAPBEXaggData 18 4" xfId="4411" xr:uid="{00000000-0005-0000-0000-000091110000}"/>
    <cellStyle name="SAPBEXaggData 18 5" xfId="4412" xr:uid="{00000000-0005-0000-0000-000092110000}"/>
    <cellStyle name="SAPBEXaggData 18 6" xfId="4413" xr:uid="{00000000-0005-0000-0000-000093110000}"/>
    <cellStyle name="SAPBEXaggData 19" xfId="4414" xr:uid="{00000000-0005-0000-0000-000094110000}"/>
    <cellStyle name="SAPBEXaggData 19 2" xfId="4415" xr:uid="{00000000-0005-0000-0000-000095110000}"/>
    <cellStyle name="SAPBEXaggData 19 3" xfId="4416" xr:uid="{00000000-0005-0000-0000-000096110000}"/>
    <cellStyle name="SAPBEXaggData 19 4" xfId="4417" xr:uid="{00000000-0005-0000-0000-000097110000}"/>
    <cellStyle name="SAPBEXaggData 19 5" xfId="4418" xr:uid="{00000000-0005-0000-0000-000098110000}"/>
    <cellStyle name="SAPBEXaggData 19 6" xfId="4419" xr:uid="{00000000-0005-0000-0000-000099110000}"/>
    <cellStyle name="SAPBEXaggData 2" xfId="4420" xr:uid="{00000000-0005-0000-0000-00009A110000}"/>
    <cellStyle name="SAPBEXaggData 2 10" xfId="4421" xr:uid="{00000000-0005-0000-0000-00009B110000}"/>
    <cellStyle name="SAPBEXaggData 2 10 2" xfId="4422" xr:uid="{00000000-0005-0000-0000-00009C110000}"/>
    <cellStyle name="SAPBEXaggData 2 10 3" xfId="4423" xr:uid="{00000000-0005-0000-0000-00009D110000}"/>
    <cellStyle name="SAPBEXaggData 2 10 4" xfId="4424" xr:uid="{00000000-0005-0000-0000-00009E110000}"/>
    <cellStyle name="SAPBEXaggData 2 11" xfId="4425" xr:uid="{00000000-0005-0000-0000-00009F110000}"/>
    <cellStyle name="SAPBEXaggData 2 11 2" xfId="4426" xr:uid="{00000000-0005-0000-0000-0000A0110000}"/>
    <cellStyle name="SAPBEXaggData 2 11 3" xfId="4427" xr:uid="{00000000-0005-0000-0000-0000A1110000}"/>
    <cellStyle name="SAPBEXaggData 2 11 4" xfId="4428" xr:uid="{00000000-0005-0000-0000-0000A2110000}"/>
    <cellStyle name="SAPBEXaggData 2 12" xfId="4429" xr:uid="{00000000-0005-0000-0000-0000A3110000}"/>
    <cellStyle name="SAPBEXaggData 2 12 2" xfId="4430" xr:uid="{00000000-0005-0000-0000-0000A4110000}"/>
    <cellStyle name="SAPBEXaggData 2 12 3" xfId="4431" xr:uid="{00000000-0005-0000-0000-0000A5110000}"/>
    <cellStyle name="SAPBEXaggData 2 12 4" xfId="4432" xr:uid="{00000000-0005-0000-0000-0000A6110000}"/>
    <cellStyle name="SAPBEXaggData 2 13" xfId="4433" xr:uid="{00000000-0005-0000-0000-0000A7110000}"/>
    <cellStyle name="SAPBEXaggData 2 13 2" xfId="4434" xr:uid="{00000000-0005-0000-0000-0000A8110000}"/>
    <cellStyle name="SAPBEXaggData 2 13 3" xfId="4435" xr:uid="{00000000-0005-0000-0000-0000A9110000}"/>
    <cellStyle name="SAPBEXaggData 2 13 4" xfId="4436" xr:uid="{00000000-0005-0000-0000-0000AA110000}"/>
    <cellStyle name="SAPBEXaggData 2 14" xfId="4437" xr:uid="{00000000-0005-0000-0000-0000AB110000}"/>
    <cellStyle name="SAPBEXaggData 2 15" xfId="4438" xr:uid="{00000000-0005-0000-0000-0000AC110000}"/>
    <cellStyle name="SAPBEXaggData 2 16" xfId="4439" xr:uid="{00000000-0005-0000-0000-0000AD110000}"/>
    <cellStyle name="SAPBEXaggData 2 17" xfId="4440" xr:uid="{00000000-0005-0000-0000-0000AE110000}"/>
    <cellStyle name="SAPBEXaggData 2 18" xfId="4441" xr:uid="{00000000-0005-0000-0000-0000AF110000}"/>
    <cellStyle name="SAPBEXaggData 2 2" xfId="4442" xr:uid="{00000000-0005-0000-0000-0000B0110000}"/>
    <cellStyle name="SAPBEXaggData 2 2 2" xfId="4443" xr:uid="{00000000-0005-0000-0000-0000B1110000}"/>
    <cellStyle name="SAPBEXaggData 2 2 2 2" xfId="4444" xr:uid="{00000000-0005-0000-0000-0000B2110000}"/>
    <cellStyle name="SAPBEXaggData 2 2 2 3" xfId="4445" xr:uid="{00000000-0005-0000-0000-0000B3110000}"/>
    <cellStyle name="SAPBEXaggData 2 2 2 4" xfId="4446" xr:uid="{00000000-0005-0000-0000-0000B4110000}"/>
    <cellStyle name="SAPBEXaggData 2 2 2 5" xfId="4447" xr:uid="{00000000-0005-0000-0000-0000B5110000}"/>
    <cellStyle name="SAPBEXaggData 2 2 2 6" xfId="4448" xr:uid="{00000000-0005-0000-0000-0000B6110000}"/>
    <cellStyle name="SAPBEXaggData 2 2 3" xfId="4449" xr:uid="{00000000-0005-0000-0000-0000B7110000}"/>
    <cellStyle name="SAPBEXaggData 2 2 3 2" xfId="4450" xr:uid="{00000000-0005-0000-0000-0000B8110000}"/>
    <cellStyle name="SAPBEXaggData 2 2 3 3" xfId="4451" xr:uid="{00000000-0005-0000-0000-0000B9110000}"/>
    <cellStyle name="SAPBEXaggData 2 2 3 4" xfId="4452" xr:uid="{00000000-0005-0000-0000-0000BA110000}"/>
    <cellStyle name="SAPBEXaggData 2 2 3 5" xfId="4453" xr:uid="{00000000-0005-0000-0000-0000BB110000}"/>
    <cellStyle name="SAPBEXaggData 2 2 3 6" xfId="4454" xr:uid="{00000000-0005-0000-0000-0000BC110000}"/>
    <cellStyle name="SAPBEXaggData 2 2 4" xfId="4455" xr:uid="{00000000-0005-0000-0000-0000BD110000}"/>
    <cellStyle name="SAPBEXaggData 2 2 4 2" xfId="4456" xr:uid="{00000000-0005-0000-0000-0000BE110000}"/>
    <cellStyle name="SAPBEXaggData 2 2 4 3" xfId="4457" xr:uid="{00000000-0005-0000-0000-0000BF110000}"/>
    <cellStyle name="SAPBEXaggData 2 2 4 4" xfId="4458" xr:uid="{00000000-0005-0000-0000-0000C0110000}"/>
    <cellStyle name="SAPBEXaggData 2 2 4 5" xfId="4459" xr:uid="{00000000-0005-0000-0000-0000C1110000}"/>
    <cellStyle name="SAPBEXaggData 2 2 4 6" xfId="4460" xr:uid="{00000000-0005-0000-0000-0000C2110000}"/>
    <cellStyle name="SAPBEXaggData 2 2 5" xfId="4461" xr:uid="{00000000-0005-0000-0000-0000C3110000}"/>
    <cellStyle name="SAPBEXaggData 2 2 5 2" xfId="4462" xr:uid="{00000000-0005-0000-0000-0000C4110000}"/>
    <cellStyle name="SAPBEXaggData 2 2 5 3" xfId="4463" xr:uid="{00000000-0005-0000-0000-0000C5110000}"/>
    <cellStyle name="SAPBEXaggData 2 2 5 4" xfId="4464" xr:uid="{00000000-0005-0000-0000-0000C6110000}"/>
    <cellStyle name="SAPBEXaggData 2 2 5 5" xfId="4465" xr:uid="{00000000-0005-0000-0000-0000C7110000}"/>
    <cellStyle name="SAPBEXaggData 2 2 5 6" xfId="4466" xr:uid="{00000000-0005-0000-0000-0000C8110000}"/>
    <cellStyle name="SAPBEXaggData 2 2 6" xfId="4467" xr:uid="{00000000-0005-0000-0000-0000C9110000}"/>
    <cellStyle name="SAPBEXaggData 2 2 7" xfId="4468" xr:uid="{00000000-0005-0000-0000-0000CA110000}"/>
    <cellStyle name="SAPBEXaggData 2 2 8" xfId="4469" xr:uid="{00000000-0005-0000-0000-0000CB110000}"/>
    <cellStyle name="SAPBEXaggData 2 3" xfId="4470" xr:uid="{00000000-0005-0000-0000-0000CC110000}"/>
    <cellStyle name="SAPBEXaggData 2 3 2" xfId="4471" xr:uid="{00000000-0005-0000-0000-0000CD110000}"/>
    <cellStyle name="SAPBEXaggData 2 3 2 2" xfId="4472" xr:uid="{00000000-0005-0000-0000-0000CE110000}"/>
    <cellStyle name="SAPBEXaggData 2 3 2 3" xfId="4473" xr:uid="{00000000-0005-0000-0000-0000CF110000}"/>
    <cellStyle name="SAPBEXaggData 2 3 2 4" xfId="4474" xr:uid="{00000000-0005-0000-0000-0000D0110000}"/>
    <cellStyle name="SAPBEXaggData 2 3 2 5" xfId="4475" xr:uid="{00000000-0005-0000-0000-0000D1110000}"/>
    <cellStyle name="SAPBEXaggData 2 3 2 6" xfId="4476" xr:uid="{00000000-0005-0000-0000-0000D2110000}"/>
    <cellStyle name="SAPBEXaggData 2 3 3" xfId="4477" xr:uid="{00000000-0005-0000-0000-0000D3110000}"/>
    <cellStyle name="SAPBEXaggData 2 3 3 2" xfId="4478" xr:uid="{00000000-0005-0000-0000-0000D4110000}"/>
    <cellStyle name="SAPBEXaggData 2 3 3 3" xfId="4479" xr:uid="{00000000-0005-0000-0000-0000D5110000}"/>
    <cellStyle name="SAPBEXaggData 2 3 3 4" xfId="4480" xr:uid="{00000000-0005-0000-0000-0000D6110000}"/>
    <cellStyle name="SAPBEXaggData 2 3 3 5" xfId="4481" xr:uid="{00000000-0005-0000-0000-0000D7110000}"/>
    <cellStyle name="SAPBEXaggData 2 3 3 6" xfId="4482" xr:uid="{00000000-0005-0000-0000-0000D8110000}"/>
    <cellStyle name="SAPBEXaggData 2 3 4" xfId="4483" xr:uid="{00000000-0005-0000-0000-0000D9110000}"/>
    <cellStyle name="SAPBEXaggData 2 3 4 2" xfId="4484" xr:uid="{00000000-0005-0000-0000-0000DA110000}"/>
    <cellStyle name="SAPBEXaggData 2 3 4 3" xfId="4485" xr:uid="{00000000-0005-0000-0000-0000DB110000}"/>
    <cellStyle name="SAPBEXaggData 2 3 4 4" xfId="4486" xr:uid="{00000000-0005-0000-0000-0000DC110000}"/>
    <cellStyle name="SAPBEXaggData 2 3 4 5" xfId="4487" xr:uid="{00000000-0005-0000-0000-0000DD110000}"/>
    <cellStyle name="SAPBEXaggData 2 3 4 6" xfId="4488" xr:uid="{00000000-0005-0000-0000-0000DE110000}"/>
    <cellStyle name="SAPBEXaggData 2 3 5" xfId="4489" xr:uid="{00000000-0005-0000-0000-0000DF110000}"/>
    <cellStyle name="SAPBEXaggData 2 3 5 2" xfId="4490" xr:uid="{00000000-0005-0000-0000-0000E0110000}"/>
    <cellStyle name="SAPBEXaggData 2 3 5 3" xfId="4491" xr:uid="{00000000-0005-0000-0000-0000E1110000}"/>
    <cellStyle name="SAPBEXaggData 2 3 5 4" xfId="4492" xr:uid="{00000000-0005-0000-0000-0000E2110000}"/>
    <cellStyle name="SAPBEXaggData 2 3 5 5" xfId="4493" xr:uid="{00000000-0005-0000-0000-0000E3110000}"/>
    <cellStyle name="SAPBEXaggData 2 3 5 6" xfId="4494" xr:uid="{00000000-0005-0000-0000-0000E4110000}"/>
    <cellStyle name="SAPBEXaggData 2 3 6" xfId="4495" xr:uid="{00000000-0005-0000-0000-0000E5110000}"/>
    <cellStyle name="SAPBEXaggData 2 3 7" xfId="4496" xr:uid="{00000000-0005-0000-0000-0000E6110000}"/>
    <cellStyle name="SAPBEXaggData 2 3 8" xfId="4497" xr:uid="{00000000-0005-0000-0000-0000E7110000}"/>
    <cellStyle name="SAPBEXaggData 2 4" xfId="4498" xr:uid="{00000000-0005-0000-0000-0000E8110000}"/>
    <cellStyle name="SAPBEXaggData 2 4 2" xfId="4499" xr:uid="{00000000-0005-0000-0000-0000E9110000}"/>
    <cellStyle name="SAPBEXaggData 2 4 2 2" xfId="4500" xr:uid="{00000000-0005-0000-0000-0000EA110000}"/>
    <cellStyle name="SAPBEXaggData 2 4 2 3" xfId="4501" xr:uid="{00000000-0005-0000-0000-0000EB110000}"/>
    <cellStyle name="SAPBEXaggData 2 4 2 4" xfId="4502" xr:uid="{00000000-0005-0000-0000-0000EC110000}"/>
    <cellStyle name="SAPBEXaggData 2 4 2 5" xfId="4503" xr:uid="{00000000-0005-0000-0000-0000ED110000}"/>
    <cellStyle name="SAPBEXaggData 2 4 2 6" xfId="4504" xr:uid="{00000000-0005-0000-0000-0000EE110000}"/>
    <cellStyle name="SAPBEXaggData 2 4 3" xfId="4505" xr:uid="{00000000-0005-0000-0000-0000EF110000}"/>
    <cellStyle name="SAPBEXaggData 2 4 3 2" xfId="4506" xr:uid="{00000000-0005-0000-0000-0000F0110000}"/>
    <cellStyle name="SAPBEXaggData 2 4 3 3" xfId="4507" xr:uid="{00000000-0005-0000-0000-0000F1110000}"/>
    <cellStyle name="SAPBEXaggData 2 4 3 4" xfId="4508" xr:uid="{00000000-0005-0000-0000-0000F2110000}"/>
    <cellStyle name="SAPBEXaggData 2 4 3 5" xfId="4509" xr:uid="{00000000-0005-0000-0000-0000F3110000}"/>
    <cellStyle name="SAPBEXaggData 2 4 3 6" xfId="4510" xr:uid="{00000000-0005-0000-0000-0000F4110000}"/>
    <cellStyle name="SAPBEXaggData 2 4 4" xfId="4511" xr:uid="{00000000-0005-0000-0000-0000F5110000}"/>
    <cellStyle name="SAPBEXaggData 2 4 4 2" xfId="4512" xr:uid="{00000000-0005-0000-0000-0000F6110000}"/>
    <cellStyle name="SAPBEXaggData 2 4 4 3" xfId="4513" xr:uid="{00000000-0005-0000-0000-0000F7110000}"/>
    <cellStyle name="SAPBEXaggData 2 4 4 4" xfId="4514" xr:uid="{00000000-0005-0000-0000-0000F8110000}"/>
    <cellStyle name="SAPBEXaggData 2 4 4 5" xfId="4515" xr:uid="{00000000-0005-0000-0000-0000F9110000}"/>
    <cellStyle name="SAPBEXaggData 2 4 4 6" xfId="4516" xr:uid="{00000000-0005-0000-0000-0000FA110000}"/>
    <cellStyle name="SAPBEXaggData 2 4 5" xfId="4517" xr:uid="{00000000-0005-0000-0000-0000FB110000}"/>
    <cellStyle name="SAPBEXaggData 2 4 5 2" xfId="4518" xr:uid="{00000000-0005-0000-0000-0000FC110000}"/>
    <cellStyle name="SAPBEXaggData 2 4 5 3" xfId="4519" xr:uid="{00000000-0005-0000-0000-0000FD110000}"/>
    <cellStyle name="SAPBEXaggData 2 4 5 4" xfId="4520" xr:uid="{00000000-0005-0000-0000-0000FE110000}"/>
    <cellStyle name="SAPBEXaggData 2 4 5 5" xfId="4521" xr:uid="{00000000-0005-0000-0000-0000FF110000}"/>
    <cellStyle name="SAPBEXaggData 2 4 5 6" xfId="4522" xr:uid="{00000000-0005-0000-0000-000000120000}"/>
    <cellStyle name="SAPBEXaggData 2 4 6" xfId="4523" xr:uid="{00000000-0005-0000-0000-000001120000}"/>
    <cellStyle name="SAPBEXaggData 2 4 7" xfId="4524" xr:uid="{00000000-0005-0000-0000-000002120000}"/>
    <cellStyle name="SAPBEXaggData 2 4 8" xfId="4525" xr:uid="{00000000-0005-0000-0000-000003120000}"/>
    <cellStyle name="SAPBEXaggData 2 5" xfId="4526" xr:uid="{00000000-0005-0000-0000-000004120000}"/>
    <cellStyle name="SAPBEXaggData 2 5 2" xfId="4527" xr:uid="{00000000-0005-0000-0000-000005120000}"/>
    <cellStyle name="SAPBEXaggData 2 5 3" xfId="4528" xr:uid="{00000000-0005-0000-0000-000006120000}"/>
    <cellStyle name="SAPBEXaggData 2 5 4" xfId="4529" xr:uid="{00000000-0005-0000-0000-000007120000}"/>
    <cellStyle name="SAPBEXaggData 2 6" xfId="4530" xr:uid="{00000000-0005-0000-0000-000008120000}"/>
    <cellStyle name="SAPBEXaggData 2 6 2" xfId="4531" xr:uid="{00000000-0005-0000-0000-000009120000}"/>
    <cellStyle name="SAPBEXaggData 2 6 3" xfId="4532" xr:uid="{00000000-0005-0000-0000-00000A120000}"/>
    <cellStyle name="SAPBEXaggData 2 6 4" xfId="4533" xr:uid="{00000000-0005-0000-0000-00000B120000}"/>
    <cellStyle name="SAPBEXaggData 2 7" xfId="4534" xr:uid="{00000000-0005-0000-0000-00000C120000}"/>
    <cellStyle name="SAPBEXaggData 2 7 2" xfId="4535" xr:uid="{00000000-0005-0000-0000-00000D120000}"/>
    <cellStyle name="SAPBEXaggData 2 7 3" xfId="4536" xr:uid="{00000000-0005-0000-0000-00000E120000}"/>
    <cellStyle name="SAPBEXaggData 2 7 4" xfId="4537" xr:uid="{00000000-0005-0000-0000-00000F120000}"/>
    <cellStyle name="SAPBEXaggData 2 8" xfId="4538" xr:uid="{00000000-0005-0000-0000-000010120000}"/>
    <cellStyle name="SAPBEXaggData 2 8 2" xfId="4539" xr:uid="{00000000-0005-0000-0000-000011120000}"/>
    <cellStyle name="SAPBEXaggData 2 8 3" xfId="4540" xr:uid="{00000000-0005-0000-0000-000012120000}"/>
    <cellStyle name="SAPBEXaggData 2 8 4" xfId="4541" xr:uid="{00000000-0005-0000-0000-000013120000}"/>
    <cellStyle name="SAPBEXaggData 2 9" xfId="4542" xr:uid="{00000000-0005-0000-0000-000014120000}"/>
    <cellStyle name="SAPBEXaggData 2 9 2" xfId="4543" xr:uid="{00000000-0005-0000-0000-000015120000}"/>
    <cellStyle name="SAPBEXaggData 2 9 3" xfId="4544" xr:uid="{00000000-0005-0000-0000-000016120000}"/>
    <cellStyle name="SAPBEXaggData 2 9 4" xfId="4545" xr:uid="{00000000-0005-0000-0000-000017120000}"/>
    <cellStyle name="SAPBEXaggData 20" xfId="4546" xr:uid="{00000000-0005-0000-0000-000018120000}"/>
    <cellStyle name="SAPBEXaggData 20 2" xfId="4547" xr:uid="{00000000-0005-0000-0000-000019120000}"/>
    <cellStyle name="SAPBEXaggData 20 3" xfId="4548" xr:uid="{00000000-0005-0000-0000-00001A120000}"/>
    <cellStyle name="SAPBEXaggData 20 4" xfId="4549" xr:uid="{00000000-0005-0000-0000-00001B120000}"/>
    <cellStyle name="SAPBEXaggData 20 5" xfId="4550" xr:uid="{00000000-0005-0000-0000-00001C120000}"/>
    <cellStyle name="SAPBEXaggData 20 6" xfId="4551" xr:uid="{00000000-0005-0000-0000-00001D120000}"/>
    <cellStyle name="SAPBEXaggData 21" xfId="4552" xr:uid="{00000000-0005-0000-0000-00001E120000}"/>
    <cellStyle name="SAPBEXaggData 21 2" xfId="4553" xr:uid="{00000000-0005-0000-0000-00001F120000}"/>
    <cellStyle name="SAPBEXaggData 21 3" xfId="4554" xr:uid="{00000000-0005-0000-0000-000020120000}"/>
    <cellStyle name="SAPBEXaggData 21 4" xfId="4555" xr:uid="{00000000-0005-0000-0000-000021120000}"/>
    <cellStyle name="SAPBEXaggData 21 5" xfId="4556" xr:uid="{00000000-0005-0000-0000-000022120000}"/>
    <cellStyle name="SAPBEXaggData 21 6" xfId="4557" xr:uid="{00000000-0005-0000-0000-000023120000}"/>
    <cellStyle name="SAPBEXaggData 22" xfId="4558" xr:uid="{00000000-0005-0000-0000-000024120000}"/>
    <cellStyle name="SAPBEXaggData 22 2" xfId="4559" xr:uid="{00000000-0005-0000-0000-000025120000}"/>
    <cellStyle name="SAPBEXaggData 22 3" xfId="4560" xr:uid="{00000000-0005-0000-0000-000026120000}"/>
    <cellStyle name="SAPBEXaggData 22 4" xfId="4561" xr:uid="{00000000-0005-0000-0000-000027120000}"/>
    <cellStyle name="SAPBEXaggData 22 5" xfId="4562" xr:uid="{00000000-0005-0000-0000-000028120000}"/>
    <cellStyle name="SAPBEXaggData 22 6" xfId="4563" xr:uid="{00000000-0005-0000-0000-000029120000}"/>
    <cellStyle name="SAPBEXaggData 23" xfId="4564" xr:uid="{00000000-0005-0000-0000-00002A120000}"/>
    <cellStyle name="SAPBEXaggData 23 2" xfId="4565" xr:uid="{00000000-0005-0000-0000-00002B120000}"/>
    <cellStyle name="SAPBEXaggData 23 3" xfId="4566" xr:uid="{00000000-0005-0000-0000-00002C120000}"/>
    <cellStyle name="SAPBEXaggData 23 4" xfId="4567" xr:uid="{00000000-0005-0000-0000-00002D120000}"/>
    <cellStyle name="SAPBEXaggData 23 5" xfId="4568" xr:uid="{00000000-0005-0000-0000-00002E120000}"/>
    <cellStyle name="SAPBEXaggData 23 6" xfId="4569" xr:uid="{00000000-0005-0000-0000-00002F120000}"/>
    <cellStyle name="SAPBEXaggData 24" xfId="4570" xr:uid="{00000000-0005-0000-0000-000030120000}"/>
    <cellStyle name="SAPBEXaggData 24 2" xfId="4571" xr:uid="{00000000-0005-0000-0000-000031120000}"/>
    <cellStyle name="SAPBEXaggData 24 3" xfId="4572" xr:uid="{00000000-0005-0000-0000-000032120000}"/>
    <cellStyle name="SAPBEXaggData 24 4" xfId="4573" xr:uid="{00000000-0005-0000-0000-000033120000}"/>
    <cellStyle name="SAPBEXaggData 24 5" xfId="4574" xr:uid="{00000000-0005-0000-0000-000034120000}"/>
    <cellStyle name="SAPBEXaggData 24 6" xfId="4575" xr:uid="{00000000-0005-0000-0000-000035120000}"/>
    <cellStyle name="SAPBEXaggData 25" xfId="4576" xr:uid="{00000000-0005-0000-0000-000036120000}"/>
    <cellStyle name="SAPBEXaggData 25 2" xfId="4577" xr:uid="{00000000-0005-0000-0000-000037120000}"/>
    <cellStyle name="SAPBEXaggData 25 3" xfId="4578" xr:uid="{00000000-0005-0000-0000-000038120000}"/>
    <cellStyle name="SAPBEXaggData 25 4" xfId="4579" xr:uid="{00000000-0005-0000-0000-000039120000}"/>
    <cellStyle name="SAPBEXaggData 25 5" xfId="4580" xr:uid="{00000000-0005-0000-0000-00003A120000}"/>
    <cellStyle name="SAPBEXaggData 25 6" xfId="4581" xr:uid="{00000000-0005-0000-0000-00003B120000}"/>
    <cellStyle name="SAPBEXaggData 26" xfId="4582" xr:uid="{00000000-0005-0000-0000-00003C120000}"/>
    <cellStyle name="SAPBEXaggData 26 2" xfId="4583" xr:uid="{00000000-0005-0000-0000-00003D120000}"/>
    <cellStyle name="SAPBEXaggData 26 3" xfId="4584" xr:uid="{00000000-0005-0000-0000-00003E120000}"/>
    <cellStyle name="SAPBEXaggData 26 4" xfId="4585" xr:uid="{00000000-0005-0000-0000-00003F120000}"/>
    <cellStyle name="SAPBEXaggData 26 5" xfId="4586" xr:uid="{00000000-0005-0000-0000-000040120000}"/>
    <cellStyle name="SAPBEXaggData 26 6" xfId="4587" xr:uid="{00000000-0005-0000-0000-000041120000}"/>
    <cellStyle name="SAPBEXaggData 27" xfId="4588" xr:uid="{00000000-0005-0000-0000-000042120000}"/>
    <cellStyle name="SAPBEXaggData 27 2" xfId="4589" xr:uid="{00000000-0005-0000-0000-000043120000}"/>
    <cellStyle name="SAPBEXaggData 27 3" xfId="4590" xr:uid="{00000000-0005-0000-0000-000044120000}"/>
    <cellStyle name="SAPBEXaggData 27 4" xfId="4591" xr:uid="{00000000-0005-0000-0000-000045120000}"/>
    <cellStyle name="SAPBEXaggData 27 5" xfId="4592" xr:uid="{00000000-0005-0000-0000-000046120000}"/>
    <cellStyle name="SAPBEXaggData 27 6" xfId="4593" xr:uid="{00000000-0005-0000-0000-000047120000}"/>
    <cellStyle name="SAPBEXaggData 28" xfId="4594" xr:uid="{00000000-0005-0000-0000-000048120000}"/>
    <cellStyle name="SAPBEXaggData 28 2" xfId="4595" xr:uid="{00000000-0005-0000-0000-000049120000}"/>
    <cellStyle name="SAPBEXaggData 28 3" xfId="4596" xr:uid="{00000000-0005-0000-0000-00004A120000}"/>
    <cellStyle name="SAPBEXaggData 28 4" xfId="4597" xr:uid="{00000000-0005-0000-0000-00004B120000}"/>
    <cellStyle name="SAPBEXaggData 28 5" xfId="4598" xr:uid="{00000000-0005-0000-0000-00004C120000}"/>
    <cellStyle name="SAPBEXaggData 28 6" xfId="4599" xr:uid="{00000000-0005-0000-0000-00004D120000}"/>
    <cellStyle name="SAPBEXaggData 29" xfId="4600" xr:uid="{00000000-0005-0000-0000-00004E120000}"/>
    <cellStyle name="SAPBEXaggData 29 2" xfId="4601" xr:uid="{00000000-0005-0000-0000-00004F120000}"/>
    <cellStyle name="SAPBEXaggData 29 3" xfId="4602" xr:uid="{00000000-0005-0000-0000-000050120000}"/>
    <cellStyle name="SAPBEXaggData 29 4" xfId="4603" xr:uid="{00000000-0005-0000-0000-000051120000}"/>
    <cellStyle name="SAPBEXaggData 29 5" xfId="4604" xr:uid="{00000000-0005-0000-0000-000052120000}"/>
    <cellStyle name="SAPBEXaggData 29 6" xfId="4605" xr:uid="{00000000-0005-0000-0000-000053120000}"/>
    <cellStyle name="SAPBEXaggData 3" xfId="4606" xr:uid="{00000000-0005-0000-0000-000054120000}"/>
    <cellStyle name="SAPBEXaggData 3 10" xfId="4607" xr:uid="{00000000-0005-0000-0000-000055120000}"/>
    <cellStyle name="SAPBEXaggData 3 11" xfId="4608" xr:uid="{00000000-0005-0000-0000-000056120000}"/>
    <cellStyle name="SAPBEXaggData 3 12" xfId="4609" xr:uid="{00000000-0005-0000-0000-000057120000}"/>
    <cellStyle name="SAPBEXaggData 3 2" xfId="4610" xr:uid="{00000000-0005-0000-0000-000058120000}"/>
    <cellStyle name="SAPBEXaggData 3 2 2" xfId="4611" xr:uid="{00000000-0005-0000-0000-000059120000}"/>
    <cellStyle name="SAPBEXaggData 3 2 2 2" xfId="4612" xr:uid="{00000000-0005-0000-0000-00005A120000}"/>
    <cellStyle name="SAPBEXaggData 3 2 2 3" xfId="4613" xr:uid="{00000000-0005-0000-0000-00005B120000}"/>
    <cellStyle name="SAPBEXaggData 3 2 2 4" xfId="4614" xr:uid="{00000000-0005-0000-0000-00005C120000}"/>
    <cellStyle name="SAPBEXaggData 3 2 2 5" xfId="4615" xr:uid="{00000000-0005-0000-0000-00005D120000}"/>
    <cellStyle name="SAPBEXaggData 3 2 2 6" xfId="4616" xr:uid="{00000000-0005-0000-0000-00005E120000}"/>
    <cellStyle name="SAPBEXaggData 3 2 3" xfId="4617" xr:uid="{00000000-0005-0000-0000-00005F120000}"/>
    <cellStyle name="SAPBEXaggData 3 2 3 2" xfId="4618" xr:uid="{00000000-0005-0000-0000-000060120000}"/>
    <cellStyle name="SAPBEXaggData 3 2 3 3" xfId="4619" xr:uid="{00000000-0005-0000-0000-000061120000}"/>
    <cellStyle name="SAPBEXaggData 3 2 3 4" xfId="4620" xr:uid="{00000000-0005-0000-0000-000062120000}"/>
    <cellStyle name="SAPBEXaggData 3 2 3 5" xfId="4621" xr:uid="{00000000-0005-0000-0000-000063120000}"/>
    <cellStyle name="SAPBEXaggData 3 2 3 6" xfId="4622" xr:uid="{00000000-0005-0000-0000-000064120000}"/>
    <cellStyle name="SAPBEXaggData 3 2 4" xfId="4623" xr:uid="{00000000-0005-0000-0000-000065120000}"/>
    <cellStyle name="SAPBEXaggData 3 2 4 2" xfId="4624" xr:uid="{00000000-0005-0000-0000-000066120000}"/>
    <cellStyle name="SAPBEXaggData 3 2 4 3" xfId="4625" xr:uid="{00000000-0005-0000-0000-000067120000}"/>
    <cellStyle name="SAPBEXaggData 3 2 4 4" xfId="4626" xr:uid="{00000000-0005-0000-0000-000068120000}"/>
    <cellStyle name="SAPBEXaggData 3 2 4 5" xfId="4627" xr:uid="{00000000-0005-0000-0000-000069120000}"/>
    <cellStyle name="SAPBEXaggData 3 2 4 6" xfId="4628" xr:uid="{00000000-0005-0000-0000-00006A120000}"/>
    <cellStyle name="SAPBEXaggData 3 2 5" xfId="4629" xr:uid="{00000000-0005-0000-0000-00006B120000}"/>
    <cellStyle name="SAPBEXaggData 3 2 5 2" xfId="4630" xr:uid="{00000000-0005-0000-0000-00006C120000}"/>
    <cellStyle name="SAPBEXaggData 3 2 5 3" xfId="4631" xr:uid="{00000000-0005-0000-0000-00006D120000}"/>
    <cellStyle name="SAPBEXaggData 3 2 5 4" xfId="4632" xr:uid="{00000000-0005-0000-0000-00006E120000}"/>
    <cellStyle name="SAPBEXaggData 3 2 5 5" xfId="4633" xr:uid="{00000000-0005-0000-0000-00006F120000}"/>
    <cellStyle name="SAPBEXaggData 3 2 5 6" xfId="4634" xr:uid="{00000000-0005-0000-0000-000070120000}"/>
    <cellStyle name="SAPBEXaggData 3 2 6" xfId="4635" xr:uid="{00000000-0005-0000-0000-000071120000}"/>
    <cellStyle name="SAPBEXaggData 3 2 7" xfId="4636" xr:uid="{00000000-0005-0000-0000-000072120000}"/>
    <cellStyle name="SAPBEXaggData 3 2 8" xfId="4637" xr:uid="{00000000-0005-0000-0000-000073120000}"/>
    <cellStyle name="SAPBEXaggData 3 3" xfId="4638" xr:uid="{00000000-0005-0000-0000-000074120000}"/>
    <cellStyle name="SAPBEXaggData 3 3 2" xfId="4639" xr:uid="{00000000-0005-0000-0000-000075120000}"/>
    <cellStyle name="SAPBEXaggData 3 3 3" xfId="4640" xr:uid="{00000000-0005-0000-0000-000076120000}"/>
    <cellStyle name="SAPBEXaggData 3 3 4" xfId="4641" xr:uid="{00000000-0005-0000-0000-000077120000}"/>
    <cellStyle name="SAPBEXaggData 3 3 5" xfId="4642" xr:uid="{00000000-0005-0000-0000-000078120000}"/>
    <cellStyle name="SAPBEXaggData 3 3 6" xfId="4643" xr:uid="{00000000-0005-0000-0000-000079120000}"/>
    <cellStyle name="SAPBEXaggData 3 4" xfId="4644" xr:uid="{00000000-0005-0000-0000-00007A120000}"/>
    <cellStyle name="SAPBEXaggData 3 4 2" xfId="4645" xr:uid="{00000000-0005-0000-0000-00007B120000}"/>
    <cellStyle name="SAPBEXaggData 3 4 3" xfId="4646" xr:uid="{00000000-0005-0000-0000-00007C120000}"/>
    <cellStyle name="SAPBEXaggData 3 4 4" xfId="4647" xr:uid="{00000000-0005-0000-0000-00007D120000}"/>
    <cellStyle name="SAPBEXaggData 3 4 5" xfId="4648" xr:uid="{00000000-0005-0000-0000-00007E120000}"/>
    <cellStyle name="SAPBEXaggData 3 4 6" xfId="4649" xr:uid="{00000000-0005-0000-0000-00007F120000}"/>
    <cellStyle name="SAPBEXaggData 3 5" xfId="4650" xr:uid="{00000000-0005-0000-0000-000080120000}"/>
    <cellStyle name="SAPBEXaggData 3 5 2" xfId="4651" xr:uid="{00000000-0005-0000-0000-000081120000}"/>
    <cellStyle name="SAPBEXaggData 3 5 3" xfId="4652" xr:uid="{00000000-0005-0000-0000-000082120000}"/>
    <cellStyle name="SAPBEXaggData 3 5 4" xfId="4653" xr:uid="{00000000-0005-0000-0000-000083120000}"/>
    <cellStyle name="SAPBEXaggData 3 6" xfId="4654" xr:uid="{00000000-0005-0000-0000-000084120000}"/>
    <cellStyle name="SAPBEXaggData 3 6 2" xfId="4655" xr:uid="{00000000-0005-0000-0000-000085120000}"/>
    <cellStyle name="SAPBEXaggData 3 6 3" xfId="4656" xr:uid="{00000000-0005-0000-0000-000086120000}"/>
    <cellStyle name="SAPBEXaggData 3 6 4" xfId="4657" xr:uid="{00000000-0005-0000-0000-000087120000}"/>
    <cellStyle name="SAPBEXaggData 3 7" xfId="4658" xr:uid="{00000000-0005-0000-0000-000088120000}"/>
    <cellStyle name="SAPBEXaggData 3 7 2" xfId="4659" xr:uid="{00000000-0005-0000-0000-000089120000}"/>
    <cellStyle name="SAPBEXaggData 3 7 3" xfId="4660" xr:uid="{00000000-0005-0000-0000-00008A120000}"/>
    <cellStyle name="SAPBEXaggData 3 7 4" xfId="4661" xr:uid="{00000000-0005-0000-0000-00008B120000}"/>
    <cellStyle name="SAPBEXaggData 3 8" xfId="4662" xr:uid="{00000000-0005-0000-0000-00008C120000}"/>
    <cellStyle name="SAPBEXaggData 3 9" xfId="4663" xr:uid="{00000000-0005-0000-0000-00008D120000}"/>
    <cellStyle name="SAPBEXaggData 30" xfId="4664" xr:uid="{00000000-0005-0000-0000-00008E120000}"/>
    <cellStyle name="SAPBEXaggData 30 2" xfId="4665" xr:uid="{00000000-0005-0000-0000-00008F120000}"/>
    <cellStyle name="SAPBEXaggData 30 3" xfId="4666" xr:uid="{00000000-0005-0000-0000-000090120000}"/>
    <cellStyle name="SAPBEXaggData 30 4" xfId="4667" xr:uid="{00000000-0005-0000-0000-000091120000}"/>
    <cellStyle name="SAPBEXaggData 30 5" xfId="4668" xr:uid="{00000000-0005-0000-0000-000092120000}"/>
    <cellStyle name="SAPBEXaggData 30 6" xfId="4669" xr:uid="{00000000-0005-0000-0000-000093120000}"/>
    <cellStyle name="SAPBEXaggData 31" xfId="4670" xr:uid="{00000000-0005-0000-0000-000094120000}"/>
    <cellStyle name="SAPBEXaggData 31 2" xfId="4671" xr:uid="{00000000-0005-0000-0000-000095120000}"/>
    <cellStyle name="SAPBEXaggData 31 3" xfId="4672" xr:uid="{00000000-0005-0000-0000-000096120000}"/>
    <cellStyle name="SAPBEXaggData 31 4" xfId="4673" xr:uid="{00000000-0005-0000-0000-000097120000}"/>
    <cellStyle name="SAPBEXaggData 31 5" xfId="4674" xr:uid="{00000000-0005-0000-0000-000098120000}"/>
    <cellStyle name="SAPBEXaggData 31 6" xfId="4675" xr:uid="{00000000-0005-0000-0000-000099120000}"/>
    <cellStyle name="SAPBEXaggData 32" xfId="4676" xr:uid="{00000000-0005-0000-0000-00009A120000}"/>
    <cellStyle name="SAPBEXaggData 32 2" xfId="4677" xr:uid="{00000000-0005-0000-0000-00009B120000}"/>
    <cellStyle name="SAPBEXaggData 32 3" xfId="4678" xr:uid="{00000000-0005-0000-0000-00009C120000}"/>
    <cellStyle name="SAPBEXaggData 32 4" xfId="4679" xr:uid="{00000000-0005-0000-0000-00009D120000}"/>
    <cellStyle name="SAPBEXaggData 32 5" xfId="4680" xr:uid="{00000000-0005-0000-0000-00009E120000}"/>
    <cellStyle name="SAPBEXaggData 32 6" xfId="4681" xr:uid="{00000000-0005-0000-0000-00009F120000}"/>
    <cellStyle name="SAPBEXaggData 33" xfId="4682" xr:uid="{00000000-0005-0000-0000-0000A0120000}"/>
    <cellStyle name="SAPBEXaggData 34" xfId="4683" xr:uid="{00000000-0005-0000-0000-0000A1120000}"/>
    <cellStyle name="SAPBEXaggData 35" xfId="4684" xr:uid="{00000000-0005-0000-0000-0000A2120000}"/>
    <cellStyle name="SAPBEXaggData 36" xfId="27795" xr:uid="{00000000-0005-0000-0000-0000A3120000}"/>
    <cellStyle name="SAPBEXaggData 37" xfId="27902" xr:uid="{00000000-0005-0000-0000-0000A4120000}"/>
    <cellStyle name="SAPBEXaggData 37 2" xfId="28048" xr:uid="{00000000-0005-0000-0000-0000A5120000}"/>
    <cellStyle name="SAPBEXaggData 38" xfId="27969" xr:uid="{00000000-0005-0000-0000-0000A6120000}"/>
    <cellStyle name="SAPBEXaggData 39" xfId="28002" xr:uid="{00000000-0005-0000-0000-0000A7120000}"/>
    <cellStyle name="SAPBEXaggData 4" xfId="4685" xr:uid="{00000000-0005-0000-0000-0000A8120000}"/>
    <cellStyle name="SAPBEXaggData 4 2" xfId="4686" xr:uid="{00000000-0005-0000-0000-0000A9120000}"/>
    <cellStyle name="SAPBEXaggData 4 3" xfId="4687" xr:uid="{00000000-0005-0000-0000-0000AA120000}"/>
    <cellStyle name="SAPBEXaggData 4 4" xfId="4688" xr:uid="{00000000-0005-0000-0000-0000AB120000}"/>
    <cellStyle name="SAPBEXaggData 4 5" xfId="4689" xr:uid="{00000000-0005-0000-0000-0000AC120000}"/>
    <cellStyle name="SAPBEXaggData 4 6" xfId="4690" xr:uid="{00000000-0005-0000-0000-0000AD120000}"/>
    <cellStyle name="SAPBEXaggData 40" xfId="28141" xr:uid="{00000000-0005-0000-0000-0000AE120000}"/>
    <cellStyle name="SAPBEXaggData 5" xfId="4691" xr:uid="{00000000-0005-0000-0000-0000AF120000}"/>
    <cellStyle name="SAPBEXaggData 5 2" xfId="4692" xr:uid="{00000000-0005-0000-0000-0000B0120000}"/>
    <cellStyle name="SAPBEXaggData 5 3" xfId="4693" xr:uid="{00000000-0005-0000-0000-0000B1120000}"/>
    <cellStyle name="SAPBEXaggData 5 4" xfId="4694" xr:uid="{00000000-0005-0000-0000-0000B2120000}"/>
    <cellStyle name="SAPBEXaggData 5 5" xfId="4695" xr:uid="{00000000-0005-0000-0000-0000B3120000}"/>
    <cellStyle name="SAPBEXaggData 5 6" xfId="4696" xr:uid="{00000000-0005-0000-0000-0000B4120000}"/>
    <cellStyle name="SAPBEXaggData 6" xfId="4697" xr:uid="{00000000-0005-0000-0000-0000B5120000}"/>
    <cellStyle name="SAPBEXaggData 6 10" xfId="4698" xr:uid="{00000000-0005-0000-0000-0000B6120000}"/>
    <cellStyle name="SAPBEXaggData 6 2" xfId="4699" xr:uid="{00000000-0005-0000-0000-0000B7120000}"/>
    <cellStyle name="SAPBEXaggData 6 2 2" xfId="4700" xr:uid="{00000000-0005-0000-0000-0000B8120000}"/>
    <cellStyle name="SAPBEXaggData 6 2 3" xfId="4701" xr:uid="{00000000-0005-0000-0000-0000B9120000}"/>
    <cellStyle name="SAPBEXaggData 6 2 4" xfId="4702" xr:uid="{00000000-0005-0000-0000-0000BA120000}"/>
    <cellStyle name="SAPBEXaggData 6 3" xfId="4703" xr:uid="{00000000-0005-0000-0000-0000BB120000}"/>
    <cellStyle name="SAPBEXaggData 6 3 2" xfId="4704" xr:uid="{00000000-0005-0000-0000-0000BC120000}"/>
    <cellStyle name="SAPBEXaggData 6 3 3" xfId="4705" xr:uid="{00000000-0005-0000-0000-0000BD120000}"/>
    <cellStyle name="SAPBEXaggData 6 3 4" xfId="4706" xr:uid="{00000000-0005-0000-0000-0000BE120000}"/>
    <cellStyle name="SAPBEXaggData 6 4" xfId="4707" xr:uid="{00000000-0005-0000-0000-0000BF120000}"/>
    <cellStyle name="SAPBEXaggData 6 4 2" xfId="4708" xr:uid="{00000000-0005-0000-0000-0000C0120000}"/>
    <cellStyle name="SAPBEXaggData 6 4 3" xfId="4709" xr:uid="{00000000-0005-0000-0000-0000C1120000}"/>
    <cellStyle name="SAPBEXaggData 6 4 4" xfId="4710" xr:uid="{00000000-0005-0000-0000-0000C2120000}"/>
    <cellStyle name="SAPBEXaggData 6 5" xfId="4711" xr:uid="{00000000-0005-0000-0000-0000C3120000}"/>
    <cellStyle name="SAPBEXaggData 6 5 2" xfId="4712" xr:uid="{00000000-0005-0000-0000-0000C4120000}"/>
    <cellStyle name="SAPBEXaggData 6 5 3" xfId="4713" xr:uid="{00000000-0005-0000-0000-0000C5120000}"/>
    <cellStyle name="SAPBEXaggData 6 5 4" xfId="4714" xr:uid="{00000000-0005-0000-0000-0000C6120000}"/>
    <cellStyle name="SAPBEXaggData 6 6" xfId="4715" xr:uid="{00000000-0005-0000-0000-0000C7120000}"/>
    <cellStyle name="SAPBEXaggData 6 7" xfId="4716" xr:uid="{00000000-0005-0000-0000-0000C8120000}"/>
    <cellStyle name="SAPBEXaggData 6 8" xfId="4717" xr:uid="{00000000-0005-0000-0000-0000C9120000}"/>
    <cellStyle name="SAPBEXaggData 6 9" xfId="4718" xr:uid="{00000000-0005-0000-0000-0000CA120000}"/>
    <cellStyle name="SAPBEXaggData 7" xfId="4719" xr:uid="{00000000-0005-0000-0000-0000CB120000}"/>
    <cellStyle name="SAPBEXaggData 7 10" xfId="4720" xr:uid="{00000000-0005-0000-0000-0000CC120000}"/>
    <cellStyle name="SAPBEXaggData 7 2" xfId="4721" xr:uid="{00000000-0005-0000-0000-0000CD120000}"/>
    <cellStyle name="SAPBEXaggData 7 2 2" xfId="4722" xr:uid="{00000000-0005-0000-0000-0000CE120000}"/>
    <cellStyle name="SAPBEXaggData 7 2 3" xfId="4723" xr:uid="{00000000-0005-0000-0000-0000CF120000}"/>
    <cellStyle name="SAPBEXaggData 7 2 4" xfId="4724" xr:uid="{00000000-0005-0000-0000-0000D0120000}"/>
    <cellStyle name="SAPBEXaggData 7 3" xfId="4725" xr:uid="{00000000-0005-0000-0000-0000D1120000}"/>
    <cellStyle name="SAPBEXaggData 7 3 2" xfId="4726" xr:uid="{00000000-0005-0000-0000-0000D2120000}"/>
    <cellStyle name="SAPBEXaggData 7 3 3" xfId="4727" xr:uid="{00000000-0005-0000-0000-0000D3120000}"/>
    <cellStyle name="SAPBEXaggData 7 3 4" xfId="4728" xr:uid="{00000000-0005-0000-0000-0000D4120000}"/>
    <cellStyle name="SAPBEXaggData 7 4" xfId="4729" xr:uid="{00000000-0005-0000-0000-0000D5120000}"/>
    <cellStyle name="SAPBEXaggData 7 4 2" xfId="4730" xr:uid="{00000000-0005-0000-0000-0000D6120000}"/>
    <cellStyle name="SAPBEXaggData 7 4 3" xfId="4731" xr:uid="{00000000-0005-0000-0000-0000D7120000}"/>
    <cellStyle name="SAPBEXaggData 7 4 4" xfId="4732" xr:uid="{00000000-0005-0000-0000-0000D8120000}"/>
    <cellStyle name="SAPBEXaggData 7 5" xfId="4733" xr:uid="{00000000-0005-0000-0000-0000D9120000}"/>
    <cellStyle name="SAPBEXaggData 7 5 2" xfId="4734" xr:uid="{00000000-0005-0000-0000-0000DA120000}"/>
    <cellStyle name="SAPBEXaggData 7 5 3" xfId="4735" xr:uid="{00000000-0005-0000-0000-0000DB120000}"/>
    <cellStyle name="SAPBEXaggData 7 5 4" xfId="4736" xr:uid="{00000000-0005-0000-0000-0000DC120000}"/>
    <cellStyle name="SAPBEXaggData 7 6" xfId="4737" xr:uid="{00000000-0005-0000-0000-0000DD120000}"/>
    <cellStyle name="SAPBEXaggData 7 7" xfId="4738" xr:uid="{00000000-0005-0000-0000-0000DE120000}"/>
    <cellStyle name="SAPBEXaggData 7 8" xfId="4739" xr:uid="{00000000-0005-0000-0000-0000DF120000}"/>
    <cellStyle name="SAPBEXaggData 7 9" xfId="4740" xr:uid="{00000000-0005-0000-0000-0000E0120000}"/>
    <cellStyle name="SAPBEXaggData 71" xfId="28080" xr:uid="{00000000-0005-0000-0000-0000E1120000}"/>
    <cellStyle name="SAPBEXaggData 8" xfId="4741" xr:uid="{00000000-0005-0000-0000-0000E2120000}"/>
    <cellStyle name="SAPBEXaggData 8 2" xfId="4742" xr:uid="{00000000-0005-0000-0000-0000E3120000}"/>
    <cellStyle name="SAPBEXaggData 8 3" xfId="4743" xr:uid="{00000000-0005-0000-0000-0000E4120000}"/>
    <cellStyle name="SAPBEXaggData 8 4" xfId="4744" xr:uid="{00000000-0005-0000-0000-0000E5120000}"/>
    <cellStyle name="SAPBEXaggData 8 5" xfId="4745" xr:uid="{00000000-0005-0000-0000-0000E6120000}"/>
    <cellStyle name="SAPBEXaggData 8 6" xfId="4746" xr:uid="{00000000-0005-0000-0000-0000E7120000}"/>
    <cellStyle name="SAPBEXaggData 9" xfId="4747" xr:uid="{00000000-0005-0000-0000-0000E8120000}"/>
    <cellStyle name="SAPBEXaggData 9 2" xfId="4748" xr:uid="{00000000-0005-0000-0000-0000E9120000}"/>
    <cellStyle name="SAPBEXaggData 9 3" xfId="4749" xr:uid="{00000000-0005-0000-0000-0000EA120000}"/>
    <cellStyle name="SAPBEXaggData 9 4" xfId="4750" xr:uid="{00000000-0005-0000-0000-0000EB120000}"/>
    <cellStyle name="SAPBEXaggData 9 5" xfId="4751" xr:uid="{00000000-0005-0000-0000-0000EC120000}"/>
    <cellStyle name="SAPBEXaggData 9 6" xfId="4752" xr:uid="{00000000-0005-0000-0000-0000ED120000}"/>
    <cellStyle name="SAPBEXaggData_Receipts" xfId="4753" xr:uid="{00000000-0005-0000-0000-0000EE120000}"/>
    <cellStyle name="SAPBEXaggDataEmph" xfId="4754" xr:uid="{00000000-0005-0000-0000-0000EF120000}"/>
    <cellStyle name="SAPBEXaggDataEmph 10" xfId="4755" xr:uid="{00000000-0005-0000-0000-0000F0120000}"/>
    <cellStyle name="SAPBEXaggDataEmph 10 2" xfId="4756" xr:uid="{00000000-0005-0000-0000-0000F1120000}"/>
    <cellStyle name="SAPBEXaggDataEmph 10 3" xfId="4757" xr:uid="{00000000-0005-0000-0000-0000F2120000}"/>
    <cellStyle name="SAPBEXaggDataEmph 10 4" xfId="4758" xr:uid="{00000000-0005-0000-0000-0000F3120000}"/>
    <cellStyle name="SAPBEXaggDataEmph 10 5" xfId="4759" xr:uid="{00000000-0005-0000-0000-0000F4120000}"/>
    <cellStyle name="SAPBEXaggDataEmph 10 6" xfId="4760" xr:uid="{00000000-0005-0000-0000-0000F5120000}"/>
    <cellStyle name="SAPBEXaggDataEmph 11" xfId="4761" xr:uid="{00000000-0005-0000-0000-0000F6120000}"/>
    <cellStyle name="SAPBEXaggDataEmph 11 2" xfId="4762" xr:uid="{00000000-0005-0000-0000-0000F7120000}"/>
    <cellStyle name="SAPBEXaggDataEmph 11 3" xfId="4763" xr:uid="{00000000-0005-0000-0000-0000F8120000}"/>
    <cellStyle name="SAPBEXaggDataEmph 11 4" xfId="4764" xr:uid="{00000000-0005-0000-0000-0000F9120000}"/>
    <cellStyle name="SAPBEXaggDataEmph 11 5" xfId="4765" xr:uid="{00000000-0005-0000-0000-0000FA120000}"/>
    <cellStyle name="SAPBEXaggDataEmph 11 6" xfId="4766" xr:uid="{00000000-0005-0000-0000-0000FB120000}"/>
    <cellStyle name="SAPBEXaggDataEmph 12" xfId="4767" xr:uid="{00000000-0005-0000-0000-0000FC120000}"/>
    <cellStyle name="SAPBEXaggDataEmph 12 2" xfId="4768" xr:uid="{00000000-0005-0000-0000-0000FD120000}"/>
    <cellStyle name="SAPBEXaggDataEmph 12 3" xfId="4769" xr:uid="{00000000-0005-0000-0000-0000FE120000}"/>
    <cellStyle name="SAPBEXaggDataEmph 12 4" xfId="4770" xr:uid="{00000000-0005-0000-0000-0000FF120000}"/>
    <cellStyle name="SAPBEXaggDataEmph 12 5" xfId="4771" xr:uid="{00000000-0005-0000-0000-000000130000}"/>
    <cellStyle name="SAPBEXaggDataEmph 12 6" xfId="4772" xr:uid="{00000000-0005-0000-0000-000001130000}"/>
    <cellStyle name="SAPBEXaggDataEmph 13" xfId="4773" xr:uid="{00000000-0005-0000-0000-000002130000}"/>
    <cellStyle name="SAPBEXaggDataEmph 13 2" xfId="4774" xr:uid="{00000000-0005-0000-0000-000003130000}"/>
    <cellStyle name="SAPBEXaggDataEmph 13 3" xfId="4775" xr:uid="{00000000-0005-0000-0000-000004130000}"/>
    <cellStyle name="SAPBEXaggDataEmph 13 4" xfId="4776" xr:uid="{00000000-0005-0000-0000-000005130000}"/>
    <cellStyle name="SAPBEXaggDataEmph 13 5" xfId="4777" xr:uid="{00000000-0005-0000-0000-000006130000}"/>
    <cellStyle name="SAPBEXaggDataEmph 13 6" xfId="4778" xr:uid="{00000000-0005-0000-0000-000007130000}"/>
    <cellStyle name="SAPBEXaggDataEmph 14" xfId="4779" xr:uid="{00000000-0005-0000-0000-000008130000}"/>
    <cellStyle name="SAPBEXaggDataEmph 14 2" xfId="4780" xr:uid="{00000000-0005-0000-0000-000009130000}"/>
    <cellStyle name="SAPBEXaggDataEmph 14 3" xfId="4781" xr:uid="{00000000-0005-0000-0000-00000A130000}"/>
    <cellStyle name="SAPBEXaggDataEmph 14 4" xfId="4782" xr:uid="{00000000-0005-0000-0000-00000B130000}"/>
    <cellStyle name="SAPBEXaggDataEmph 14 5" xfId="4783" xr:uid="{00000000-0005-0000-0000-00000C130000}"/>
    <cellStyle name="SAPBEXaggDataEmph 14 6" xfId="4784" xr:uid="{00000000-0005-0000-0000-00000D130000}"/>
    <cellStyle name="SAPBEXaggDataEmph 15" xfId="4785" xr:uid="{00000000-0005-0000-0000-00000E130000}"/>
    <cellStyle name="SAPBEXaggDataEmph 15 2" xfId="4786" xr:uid="{00000000-0005-0000-0000-00000F130000}"/>
    <cellStyle name="SAPBEXaggDataEmph 15 3" xfId="4787" xr:uid="{00000000-0005-0000-0000-000010130000}"/>
    <cellStyle name="SAPBEXaggDataEmph 15 4" xfId="4788" xr:uid="{00000000-0005-0000-0000-000011130000}"/>
    <cellStyle name="SAPBEXaggDataEmph 15 5" xfId="4789" xr:uid="{00000000-0005-0000-0000-000012130000}"/>
    <cellStyle name="SAPBEXaggDataEmph 15 6" xfId="4790" xr:uid="{00000000-0005-0000-0000-000013130000}"/>
    <cellStyle name="SAPBEXaggDataEmph 16" xfId="4791" xr:uid="{00000000-0005-0000-0000-000014130000}"/>
    <cellStyle name="SAPBEXaggDataEmph 16 2" xfId="4792" xr:uid="{00000000-0005-0000-0000-000015130000}"/>
    <cellStyle name="SAPBEXaggDataEmph 16 3" xfId="4793" xr:uid="{00000000-0005-0000-0000-000016130000}"/>
    <cellStyle name="SAPBEXaggDataEmph 16 4" xfId="4794" xr:uid="{00000000-0005-0000-0000-000017130000}"/>
    <cellStyle name="SAPBEXaggDataEmph 16 5" xfId="4795" xr:uid="{00000000-0005-0000-0000-000018130000}"/>
    <cellStyle name="SAPBEXaggDataEmph 16 6" xfId="4796" xr:uid="{00000000-0005-0000-0000-000019130000}"/>
    <cellStyle name="SAPBEXaggDataEmph 17" xfId="4797" xr:uid="{00000000-0005-0000-0000-00001A130000}"/>
    <cellStyle name="SAPBEXaggDataEmph 17 2" xfId="4798" xr:uid="{00000000-0005-0000-0000-00001B130000}"/>
    <cellStyle name="SAPBEXaggDataEmph 17 3" xfId="4799" xr:uid="{00000000-0005-0000-0000-00001C130000}"/>
    <cellStyle name="SAPBEXaggDataEmph 17 4" xfId="4800" xr:uid="{00000000-0005-0000-0000-00001D130000}"/>
    <cellStyle name="SAPBEXaggDataEmph 17 5" xfId="4801" xr:uid="{00000000-0005-0000-0000-00001E130000}"/>
    <cellStyle name="SAPBEXaggDataEmph 17 6" xfId="4802" xr:uid="{00000000-0005-0000-0000-00001F130000}"/>
    <cellStyle name="SAPBEXaggDataEmph 18" xfId="4803" xr:uid="{00000000-0005-0000-0000-000020130000}"/>
    <cellStyle name="SAPBEXaggDataEmph 18 2" xfId="4804" xr:uid="{00000000-0005-0000-0000-000021130000}"/>
    <cellStyle name="SAPBEXaggDataEmph 18 3" xfId="4805" xr:uid="{00000000-0005-0000-0000-000022130000}"/>
    <cellStyle name="SAPBEXaggDataEmph 18 4" xfId="4806" xr:uid="{00000000-0005-0000-0000-000023130000}"/>
    <cellStyle name="SAPBEXaggDataEmph 18 5" xfId="4807" xr:uid="{00000000-0005-0000-0000-000024130000}"/>
    <cellStyle name="SAPBEXaggDataEmph 18 6" xfId="4808" xr:uid="{00000000-0005-0000-0000-000025130000}"/>
    <cellStyle name="SAPBEXaggDataEmph 19" xfId="4809" xr:uid="{00000000-0005-0000-0000-000026130000}"/>
    <cellStyle name="SAPBEXaggDataEmph 19 2" xfId="4810" xr:uid="{00000000-0005-0000-0000-000027130000}"/>
    <cellStyle name="SAPBEXaggDataEmph 19 3" xfId="4811" xr:uid="{00000000-0005-0000-0000-000028130000}"/>
    <cellStyle name="SAPBEXaggDataEmph 19 4" xfId="4812" xr:uid="{00000000-0005-0000-0000-000029130000}"/>
    <cellStyle name="SAPBEXaggDataEmph 19 5" xfId="4813" xr:uid="{00000000-0005-0000-0000-00002A130000}"/>
    <cellStyle name="SAPBEXaggDataEmph 19 6" xfId="4814" xr:uid="{00000000-0005-0000-0000-00002B130000}"/>
    <cellStyle name="SAPBEXaggDataEmph 2" xfId="4815" xr:uid="{00000000-0005-0000-0000-00002C130000}"/>
    <cellStyle name="SAPBEXaggDataEmph 2 10" xfId="4816" xr:uid="{00000000-0005-0000-0000-00002D130000}"/>
    <cellStyle name="SAPBEXaggDataEmph 2 10 2" xfId="4817" xr:uid="{00000000-0005-0000-0000-00002E130000}"/>
    <cellStyle name="SAPBEXaggDataEmph 2 10 3" xfId="4818" xr:uid="{00000000-0005-0000-0000-00002F130000}"/>
    <cellStyle name="SAPBEXaggDataEmph 2 10 4" xfId="4819" xr:uid="{00000000-0005-0000-0000-000030130000}"/>
    <cellStyle name="SAPBEXaggDataEmph 2 11" xfId="4820" xr:uid="{00000000-0005-0000-0000-000031130000}"/>
    <cellStyle name="SAPBEXaggDataEmph 2 11 2" xfId="4821" xr:uid="{00000000-0005-0000-0000-000032130000}"/>
    <cellStyle name="SAPBEXaggDataEmph 2 11 3" xfId="4822" xr:uid="{00000000-0005-0000-0000-000033130000}"/>
    <cellStyle name="SAPBEXaggDataEmph 2 11 4" xfId="4823" xr:uid="{00000000-0005-0000-0000-000034130000}"/>
    <cellStyle name="SAPBEXaggDataEmph 2 12" xfId="4824" xr:uid="{00000000-0005-0000-0000-000035130000}"/>
    <cellStyle name="SAPBEXaggDataEmph 2 12 2" xfId="4825" xr:uid="{00000000-0005-0000-0000-000036130000}"/>
    <cellStyle name="SAPBEXaggDataEmph 2 12 3" xfId="4826" xr:uid="{00000000-0005-0000-0000-000037130000}"/>
    <cellStyle name="SAPBEXaggDataEmph 2 12 4" xfId="4827" xr:uid="{00000000-0005-0000-0000-000038130000}"/>
    <cellStyle name="SAPBEXaggDataEmph 2 13" xfId="4828" xr:uid="{00000000-0005-0000-0000-000039130000}"/>
    <cellStyle name="SAPBEXaggDataEmph 2 13 2" xfId="4829" xr:uid="{00000000-0005-0000-0000-00003A130000}"/>
    <cellStyle name="SAPBEXaggDataEmph 2 13 3" xfId="4830" xr:uid="{00000000-0005-0000-0000-00003B130000}"/>
    <cellStyle name="SAPBEXaggDataEmph 2 13 4" xfId="4831" xr:uid="{00000000-0005-0000-0000-00003C130000}"/>
    <cellStyle name="SAPBEXaggDataEmph 2 14" xfId="4832" xr:uid="{00000000-0005-0000-0000-00003D130000}"/>
    <cellStyle name="SAPBEXaggDataEmph 2 15" xfId="4833" xr:uid="{00000000-0005-0000-0000-00003E130000}"/>
    <cellStyle name="SAPBEXaggDataEmph 2 16" xfId="4834" xr:uid="{00000000-0005-0000-0000-00003F130000}"/>
    <cellStyle name="SAPBEXaggDataEmph 2 17" xfId="4835" xr:uid="{00000000-0005-0000-0000-000040130000}"/>
    <cellStyle name="SAPBEXaggDataEmph 2 18" xfId="4836" xr:uid="{00000000-0005-0000-0000-000041130000}"/>
    <cellStyle name="SAPBEXaggDataEmph 2 2" xfId="4837" xr:uid="{00000000-0005-0000-0000-000042130000}"/>
    <cellStyle name="SAPBEXaggDataEmph 2 2 2" xfId="4838" xr:uid="{00000000-0005-0000-0000-000043130000}"/>
    <cellStyle name="SAPBEXaggDataEmph 2 2 2 2" xfId="4839" xr:uid="{00000000-0005-0000-0000-000044130000}"/>
    <cellStyle name="SAPBEXaggDataEmph 2 2 2 3" xfId="4840" xr:uid="{00000000-0005-0000-0000-000045130000}"/>
    <cellStyle name="SAPBEXaggDataEmph 2 2 2 4" xfId="4841" xr:uid="{00000000-0005-0000-0000-000046130000}"/>
    <cellStyle name="SAPBEXaggDataEmph 2 2 2 5" xfId="4842" xr:uid="{00000000-0005-0000-0000-000047130000}"/>
    <cellStyle name="SAPBEXaggDataEmph 2 2 2 6" xfId="4843" xr:uid="{00000000-0005-0000-0000-000048130000}"/>
    <cellStyle name="SAPBEXaggDataEmph 2 2 3" xfId="4844" xr:uid="{00000000-0005-0000-0000-000049130000}"/>
    <cellStyle name="SAPBEXaggDataEmph 2 2 3 2" xfId="4845" xr:uid="{00000000-0005-0000-0000-00004A130000}"/>
    <cellStyle name="SAPBEXaggDataEmph 2 2 3 3" xfId="4846" xr:uid="{00000000-0005-0000-0000-00004B130000}"/>
    <cellStyle name="SAPBEXaggDataEmph 2 2 3 4" xfId="4847" xr:uid="{00000000-0005-0000-0000-00004C130000}"/>
    <cellStyle name="SAPBEXaggDataEmph 2 2 3 5" xfId="4848" xr:uid="{00000000-0005-0000-0000-00004D130000}"/>
    <cellStyle name="SAPBEXaggDataEmph 2 2 3 6" xfId="4849" xr:uid="{00000000-0005-0000-0000-00004E130000}"/>
    <cellStyle name="SAPBEXaggDataEmph 2 2 4" xfId="4850" xr:uid="{00000000-0005-0000-0000-00004F130000}"/>
    <cellStyle name="SAPBEXaggDataEmph 2 2 4 2" xfId="4851" xr:uid="{00000000-0005-0000-0000-000050130000}"/>
    <cellStyle name="SAPBEXaggDataEmph 2 2 4 3" xfId="4852" xr:uid="{00000000-0005-0000-0000-000051130000}"/>
    <cellStyle name="SAPBEXaggDataEmph 2 2 4 4" xfId="4853" xr:uid="{00000000-0005-0000-0000-000052130000}"/>
    <cellStyle name="SAPBEXaggDataEmph 2 2 4 5" xfId="4854" xr:uid="{00000000-0005-0000-0000-000053130000}"/>
    <cellStyle name="SAPBEXaggDataEmph 2 2 4 6" xfId="4855" xr:uid="{00000000-0005-0000-0000-000054130000}"/>
    <cellStyle name="SAPBEXaggDataEmph 2 2 5" xfId="4856" xr:uid="{00000000-0005-0000-0000-000055130000}"/>
    <cellStyle name="SAPBEXaggDataEmph 2 2 5 2" xfId="4857" xr:uid="{00000000-0005-0000-0000-000056130000}"/>
    <cellStyle name="SAPBEXaggDataEmph 2 2 5 3" xfId="4858" xr:uid="{00000000-0005-0000-0000-000057130000}"/>
    <cellStyle name="SAPBEXaggDataEmph 2 2 5 4" xfId="4859" xr:uid="{00000000-0005-0000-0000-000058130000}"/>
    <cellStyle name="SAPBEXaggDataEmph 2 2 5 5" xfId="4860" xr:uid="{00000000-0005-0000-0000-000059130000}"/>
    <cellStyle name="SAPBEXaggDataEmph 2 2 5 6" xfId="4861" xr:uid="{00000000-0005-0000-0000-00005A130000}"/>
    <cellStyle name="SAPBEXaggDataEmph 2 2 6" xfId="4862" xr:uid="{00000000-0005-0000-0000-00005B130000}"/>
    <cellStyle name="SAPBEXaggDataEmph 2 2 7" xfId="4863" xr:uid="{00000000-0005-0000-0000-00005C130000}"/>
    <cellStyle name="SAPBEXaggDataEmph 2 2 8" xfId="4864" xr:uid="{00000000-0005-0000-0000-00005D130000}"/>
    <cellStyle name="SAPBEXaggDataEmph 2 3" xfId="4865" xr:uid="{00000000-0005-0000-0000-00005E130000}"/>
    <cellStyle name="SAPBEXaggDataEmph 2 3 2" xfId="4866" xr:uid="{00000000-0005-0000-0000-00005F130000}"/>
    <cellStyle name="SAPBEXaggDataEmph 2 3 2 2" xfId="4867" xr:uid="{00000000-0005-0000-0000-000060130000}"/>
    <cellStyle name="SAPBEXaggDataEmph 2 3 2 3" xfId="4868" xr:uid="{00000000-0005-0000-0000-000061130000}"/>
    <cellStyle name="SAPBEXaggDataEmph 2 3 2 4" xfId="4869" xr:uid="{00000000-0005-0000-0000-000062130000}"/>
    <cellStyle name="SAPBEXaggDataEmph 2 3 2 5" xfId="4870" xr:uid="{00000000-0005-0000-0000-000063130000}"/>
    <cellStyle name="SAPBEXaggDataEmph 2 3 2 6" xfId="4871" xr:uid="{00000000-0005-0000-0000-000064130000}"/>
    <cellStyle name="SAPBEXaggDataEmph 2 3 3" xfId="4872" xr:uid="{00000000-0005-0000-0000-000065130000}"/>
    <cellStyle name="SAPBEXaggDataEmph 2 3 3 2" xfId="4873" xr:uid="{00000000-0005-0000-0000-000066130000}"/>
    <cellStyle name="SAPBEXaggDataEmph 2 3 3 3" xfId="4874" xr:uid="{00000000-0005-0000-0000-000067130000}"/>
    <cellStyle name="SAPBEXaggDataEmph 2 3 3 4" xfId="4875" xr:uid="{00000000-0005-0000-0000-000068130000}"/>
    <cellStyle name="SAPBEXaggDataEmph 2 3 3 5" xfId="4876" xr:uid="{00000000-0005-0000-0000-000069130000}"/>
    <cellStyle name="SAPBEXaggDataEmph 2 3 3 6" xfId="4877" xr:uid="{00000000-0005-0000-0000-00006A130000}"/>
    <cellStyle name="SAPBEXaggDataEmph 2 3 4" xfId="4878" xr:uid="{00000000-0005-0000-0000-00006B130000}"/>
    <cellStyle name="SAPBEXaggDataEmph 2 3 4 2" xfId="4879" xr:uid="{00000000-0005-0000-0000-00006C130000}"/>
    <cellStyle name="SAPBEXaggDataEmph 2 3 4 3" xfId="4880" xr:uid="{00000000-0005-0000-0000-00006D130000}"/>
    <cellStyle name="SAPBEXaggDataEmph 2 3 4 4" xfId="4881" xr:uid="{00000000-0005-0000-0000-00006E130000}"/>
    <cellStyle name="SAPBEXaggDataEmph 2 3 4 5" xfId="4882" xr:uid="{00000000-0005-0000-0000-00006F130000}"/>
    <cellStyle name="SAPBEXaggDataEmph 2 3 4 6" xfId="4883" xr:uid="{00000000-0005-0000-0000-000070130000}"/>
    <cellStyle name="SAPBEXaggDataEmph 2 3 5" xfId="4884" xr:uid="{00000000-0005-0000-0000-000071130000}"/>
    <cellStyle name="SAPBEXaggDataEmph 2 3 5 2" xfId="4885" xr:uid="{00000000-0005-0000-0000-000072130000}"/>
    <cellStyle name="SAPBEXaggDataEmph 2 3 5 3" xfId="4886" xr:uid="{00000000-0005-0000-0000-000073130000}"/>
    <cellStyle name="SAPBEXaggDataEmph 2 3 5 4" xfId="4887" xr:uid="{00000000-0005-0000-0000-000074130000}"/>
    <cellStyle name="SAPBEXaggDataEmph 2 3 5 5" xfId="4888" xr:uid="{00000000-0005-0000-0000-000075130000}"/>
    <cellStyle name="SAPBEXaggDataEmph 2 3 5 6" xfId="4889" xr:uid="{00000000-0005-0000-0000-000076130000}"/>
    <cellStyle name="SAPBEXaggDataEmph 2 3 6" xfId="4890" xr:uid="{00000000-0005-0000-0000-000077130000}"/>
    <cellStyle name="SAPBEXaggDataEmph 2 3 7" xfId="4891" xr:uid="{00000000-0005-0000-0000-000078130000}"/>
    <cellStyle name="SAPBEXaggDataEmph 2 3 8" xfId="4892" xr:uid="{00000000-0005-0000-0000-000079130000}"/>
    <cellStyle name="SAPBEXaggDataEmph 2 4" xfId="4893" xr:uid="{00000000-0005-0000-0000-00007A130000}"/>
    <cellStyle name="SAPBEXaggDataEmph 2 4 2" xfId="4894" xr:uid="{00000000-0005-0000-0000-00007B130000}"/>
    <cellStyle name="SAPBEXaggDataEmph 2 4 2 2" xfId="4895" xr:uid="{00000000-0005-0000-0000-00007C130000}"/>
    <cellStyle name="SAPBEXaggDataEmph 2 4 2 3" xfId="4896" xr:uid="{00000000-0005-0000-0000-00007D130000}"/>
    <cellStyle name="SAPBEXaggDataEmph 2 4 2 4" xfId="4897" xr:uid="{00000000-0005-0000-0000-00007E130000}"/>
    <cellStyle name="SAPBEXaggDataEmph 2 4 2 5" xfId="4898" xr:uid="{00000000-0005-0000-0000-00007F130000}"/>
    <cellStyle name="SAPBEXaggDataEmph 2 4 2 6" xfId="4899" xr:uid="{00000000-0005-0000-0000-000080130000}"/>
    <cellStyle name="SAPBEXaggDataEmph 2 4 3" xfId="4900" xr:uid="{00000000-0005-0000-0000-000081130000}"/>
    <cellStyle name="SAPBEXaggDataEmph 2 4 3 2" xfId="4901" xr:uid="{00000000-0005-0000-0000-000082130000}"/>
    <cellStyle name="SAPBEXaggDataEmph 2 4 3 3" xfId="4902" xr:uid="{00000000-0005-0000-0000-000083130000}"/>
    <cellStyle name="SAPBEXaggDataEmph 2 4 3 4" xfId="4903" xr:uid="{00000000-0005-0000-0000-000084130000}"/>
    <cellStyle name="SAPBEXaggDataEmph 2 4 3 5" xfId="4904" xr:uid="{00000000-0005-0000-0000-000085130000}"/>
    <cellStyle name="SAPBEXaggDataEmph 2 4 3 6" xfId="4905" xr:uid="{00000000-0005-0000-0000-000086130000}"/>
    <cellStyle name="SAPBEXaggDataEmph 2 4 4" xfId="4906" xr:uid="{00000000-0005-0000-0000-000087130000}"/>
    <cellStyle name="SAPBEXaggDataEmph 2 4 4 2" xfId="4907" xr:uid="{00000000-0005-0000-0000-000088130000}"/>
    <cellStyle name="SAPBEXaggDataEmph 2 4 4 3" xfId="4908" xr:uid="{00000000-0005-0000-0000-000089130000}"/>
    <cellStyle name="SAPBEXaggDataEmph 2 4 4 4" xfId="4909" xr:uid="{00000000-0005-0000-0000-00008A130000}"/>
    <cellStyle name="SAPBEXaggDataEmph 2 4 4 5" xfId="4910" xr:uid="{00000000-0005-0000-0000-00008B130000}"/>
    <cellStyle name="SAPBEXaggDataEmph 2 4 4 6" xfId="4911" xr:uid="{00000000-0005-0000-0000-00008C130000}"/>
    <cellStyle name="SAPBEXaggDataEmph 2 4 5" xfId="4912" xr:uid="{00000000-0005-0000-0000-00008D130000}"/>
    <cellStyle name="SAPBEXaggDataEmph 2 4 5 2" xfId="4913" xr:uid="{00000000-0005-0000-0000-00008E130000}"/>
    <cellStyle name="SAPBEXaggDataEmph 2 4 5 3" xfId="4914" xr:uid="{00000000-0005-0000-0000-00008F130000}"/>
    <cellStyle name="SAPBEXaggDataEmph 2 4 5 4" xfId="4915" xr:uid="{00000000-0005-0000-0000-000090130000}"/>
    <cellStyle name="SAPBEXaggDataEmph 2 4 5 5" xfId="4916" xr:uid="{00000000-0005-0000-0000-000091130000}"/>
    <cellStyle name="SAPBEXaggDataEmph 2 4 5 6" xfId="4917" xr:uid="{00000000-0005-0000-0000-000092130000}"/>
    <cellStyle name="SAPBEXaggDataEmph 2 4 6" xfId="4918" xr:uid="{00000000-0005-0000-0000-000093130000}"/>
    <cellStyle name="SAPBEXaggDataEmph 2 4 7" xfId="4919" xr:uid="{00000000-0005-0000-0000-000094130000}"/>
    <cellStyle name="SAPBEXaggDataEmph 2 4 8" xfId="4920" xr:uid="{00000000-0005-0000-0000-000095130000}"/>
    <cellStyle name="SAPBEXaggDataEmph 2 5" xfId="4921" xr:uid="{00000000-0005-0000-0000-000096130000}"/>
    <cellStyle name="SAPBEXaggDataEmph 2 5 2" xfId="4922" xr:uid="{00000000-0005-0000-0000-000097130000}"/>
    <cellStyle name="SAPBEXaggDataEmph 2 5 3" xfId="4923" xr:uid="{00000000-0005-0000-0000-000098130000}"/>
    <cellStyle name="SAPBEXaggDataEmph 2 5 4" xfId="4924" xr:uid="{00000000-0005-0000-0000-000099130000}"/>
    <cellStyle name="SAPBEXaggDataEmph 2 6" xfId="4925" xr:uid="{00000000-0005-0000-0000-00009A130000}"/>
    <cellStyle name="SAPBEXaggDataEmph 2 6 2" xfId="4926" xr:uid="{00000000-0005-0000-0000-00009B130000}"/>
    <cellStyle name="SAPBEXaggDataEmph 2 6 3" xfId="4927" xr:uid="{00000000-0005-0000-0000-00009C130000}"/>
    <cellStyle name="SAPBEXaggDataEmph 2 6 4" xfId="4928" xr:uid="{00000000-0005-0000-0000-00009D130000}"/>
    <cellStyle name="SAPBEXaggDataEmph 2 7" xfId="4929" xr:uid="{00000000-0005-0000-0000-00009E130000}"/>
    <cellStyle name="SAPBEXaggDataEmph 2 7 2" xfId="4930" xr:uid="{00000000-0005-0000-0000-00009F130000}"/>
    <cellStyle name="SAPBEXaggDataEmph 2 7 3" xfId="4931" xr:uid="{00000000-0005-0000-0000-0000A0130000}"/>
    <cellStyle name="SAPBEXaggDataEmph 2 7 4" xfId="4932" xr:uid="{00000000-0005-0000-0000-0000A1130000}"/>
    <cellStyle name="SAPBEXaggDataEmph 2 8" xfId="4933" xr:uid="{00000000-0005-0000-0000-0000A2130000}"/>
    <cellStyle name="SAPBEXaggDataEmph 2 8 2" xfId="4934" xr:uid="{00000000-0005-0000-0000-0000A3130000}"/>
    <cellStyle name="SAPBEXaggDataEmph 2 8 3" xfId="4935" xr:uid="{00000000-0005-0000-0000-0000A4130000}"/>
    <cellStyle name="SAPBEXaggDataEmph 2 8 4" xfId="4936" xr:uid="{00000000-0005-0000-0000-0000A5130000}"/>
    <cellStyle name="SAPBEXaggDataEmph 2 9" xfId="4937" xr:uid="{00000000-0005-0000-0000-0000A6130000}"/>
    <cellStyle name="SAPBEXaggDataEmph 2 9 2" xfId="4938" xr:uid="{00000000-0005-0000-0000-0000A7130000}"/>
    <cellStyle name="SAPBEXaggDataEmph 2 9 3" xfId="4939" xr:uid="{00000000-0005-0000-0000-0000A8130000}"/>
    <cellStyle name="SAPBEXaggDataEmph 2 9 4" xfId="4940" xr:uid="{00000000-0005-0000-0000-0000A9130000}"/>
    <cellStyle name="SAPBEXaggDataEmph 20" xfId="4941" xr:uid="{00000000-0005-0000-0000-0000AA130000}"/>
    <cellStyle name="SAPBEXaggDataEmph 20 2" xfId="4942" xr:uid="{00000000-0005-0000-0000-0000AB130000}"/>
    <cellStyle name="SAPBEXaggDataEmph 20 3" xfId="4943" xr:uid="{00000000-0005-0000-0000-0000AC130000}"/>
    <cellStyle name="SAPBEXaggDataEmph 20 4" xfId="4944" xr:uid="{00000000-0005-0000-0000-0000AD130000}"/>
    <cellStyle name="SAPBEXaggDataEmph 20 5" xfId="4945" xr:uid="{00000000-0005-0000-0000-0000AE130000}"/>
    <cellStyle name="SAPBEXaggDataEmph 20 6" xfId="4946" xr:uid="{00000000-0005-0000-0000-0000AF130000}"/>
    <cellStyle name="SAPBEXaggDataEmph 21" xfId="4947" xr:uid="{00000000-0005-0000-0000-0000B0130000}"/>
    <cellStyle name="SAPBEXaggDataEmph 21 2" xfId="4948" xr:uid="{00000000-0005-0000-0000-0000B1130000}"/>
    <cellStyle name="SAPBEXaggDataEmph 21 3" xfId="4949" xr:uid="{00000000-0005-0000-0000-0000B2130000}"/>
    <cellStyle name="SAPBEXaggDataEmph 21 4" xfId="4950" xr:uid="{00000000-0005-0000-0000-0000B3130000}"/>
    <cellStyle name="SAPBEXaggDataEmph 21 5" xfId="4951" xr:uid="{00000000-0005-0000-0000-0000B4130000}"/>
    <cellStyle name="SAPBEXaggDataEmph 21 6" xfId="4952" xr:uid="{00000000-0005-0000-0000-0000B5130000}"/>
    <cellStyle name="SAPBEXaggDataEmph 22" xfId="4953" xr:uid="{00000000-0005-0000-0000-0000B6130000}"/>
    <cellStyle name="SAPBEXaggDataEmph 22 2" xfId="4954" xr:uid="{00000000-0005-0000-0000-0000B7130000}"/>
    <cellStyle name="SAPBEXaggDataEmph 22 3" xfId="4955" xr:uid="{00000000-0005-0000-0000-0000B8130000}"/>
    <cellStyle name="SAPBEXaggDataEmph 22 4" xfId="4956" xr:uid="{00000000-0005-0000-0000-0000B9130000}"/>
    <cellStyle name="SAPBEXaggDataEmph 22 5" xfId="4957" xr:uid="{00000000-0005-0000-0000-0000BA130000}"/>
    <cellStyle name="SAPBEXaggDataEmph 22 6" xfId="4958" xr:uid="{00000000-0005-0000-0000-0000BB130000}"/>
    <cellStyle name="SAPBEXaggDataEmph 23" xfId="4959" xr:uid="{00000000-0005-0000-0000-0000BC130000}"/>
    <cellStyle name="SAPBEXaggDataEmph 23 2" xfId="4960" xr:uid="{00000000-0005-0000-0000-0000BD130000}"/>
    <cellStyle name="SAPBEXaggDataEmph 23 3" xfId="4961" xr:uid="{00000000-0005-0000-0000-0000BE130000}"/>
    <cellStyle name="SAPBEXaggDataEmph 23 4" xfId="4962" xr:uid="{00000000-0005-0000-0000-0000BF130000}"/>
    <cellStyle name="SAPBEXaggDataEmph 23 5" xfId="4963" xr:uid="{00000000-0005-0000-0000-0000C0130000}"/>
    <cellStyle name="SAPBEXaggDataEmph 23 6" xfId="4964" xr:uid="{00000000-0005-0000-0000-0000C1130000}"/>
    <cellStyle name="SAPBEXaggDataEmph 24" xfId="4965" xr:uid="{00000000-0005-0000-0000-0000C2130000}"/>
    <cellStyle name="SAPBEXaggDataEmph 24 2" xfId="4966" xr:uid="{00000000-0005-0000-0000-0000C3130000}"/>
    <cellStyle name="SAPBEXaggDataEmph 24 3" xfId="4967" xr:uid="{00000000-0005-0000-0000-0000C4130000}"/>
    <cellStyle name="SAPBEXaggDataEmph 24 4" xfId="4968" xr:uid="{00000000-0005-0000-0000-0000C5130000}"/>
    <cellStyle name="SAPBEXaggDataEmph 24 5" xfId="4969" xr:uid="{00000000-0005-0000-0000-0000C6130000}"/>
    <cellStyle name="SAPBEXaggDataEmph 24 6" xfId="4970" xr:uid="{00000000-0005-0000-0000-0000C7130000}"/>
    <cellStyle name="SAPBEXaggDataEmph 25" xfId="4971" xr:uid="{00000000-0005-0000-0000-0000C8130000}"/>
    <cellStyle name="SAPBEXaggDataEmph 25 2" xfId="4972" xr:uid="{00000000-0005-0000-0000-0000C9130000}"/>
    <cellStyle name="SAPBEXaggDataEmph 25 3" xfId="4973" xr:uid="{00000000-0005-0000-0000-0000CA130000}"/>
    <cellStyle name="SAPBEXaggDataEmph 25 4" xfId="4974" xr:uid="{00000000-0005-0000-0000-0000CB130000}"/>
    <cellStyle name="SAPBEXaggDataEmph 25 5" xfId="4975" xr:uid="{00000000-0005-0000-0000-0000CC130000}"/>
    <cellStyle name="SAPBEXaggDataEmph 25 6" xfId="4976" xr:uid="{00000000-0005-0000-0000-0000CD130000}"/>
    <cellStyle name="SAPBEXaggDataEmph 26" xfId="4977" xr:uid="{00000000-0005-0000-0000-0000CE130000}"/>
    <cellStyle name="SAPBEXaggDataEmph 26 2" xfId="4978" xr:uid="{00000000-0005-0000-0000-0000CF130000}"/>
    <cellStyle name="SAPBEXaggDataEmph 26 3" xfId="4979" xr:uid="{00000000-0005-0000-0000-0000D0130000}"/>
    <cellStyle name="SAPBEXaggDataEmph 26 4" xfId="4980" xr:uid="{00000000-0005-0000-0000-0000D1130000}"/>
    <cellStyle name="SAPBEXaggDataEmph 26 5" xfId="4981" xr:uid="{00000000-0005-0000-0000-0000D2130000}"/>
    <cellStyle name="SAPBEXaggDataEmph 26 6" xfId="4982" xr:uid="{00000000-0005-0000-0000-0000D3130000}"/>
    <cellStyle name="SAPBEXaggDataEmph 27" xfId="4983" xr:uid="{00000000-0005-0000-0000-0000D4130000}"/>
    <cellStyle name="SAPBEXaggDataEmph 27 2" xfId="4984" xr:uid="{00000000-0005-0000-0000-0000D5130000}"/>
    <cellStyle name="SAPBEXaggDataEmph 27 3" xfId="4985" xr:uid="{00000000-0005-0000-0000-0000D6130000}"/>
    <cellStyle name="SAPBEXaggDataEmph 27 4" xfId="4986" xr:uid="{00000000-0005-0000-0000-0000D7130000}"/>
    <cellStyle name="SAPBEXaggDataEmph 27 5" xfId="4987" xr:uid="{00000000-0005-0000-0000-0000D8130000}"/>
    <cellStyle name="SAPBEXaggDataEmph 27 6" xfId="4988" xr:uid="{00000000-0005-0000-0000-0000D9130000}"/>
    <cellStyle name="SAPBEXaggDataEmph 28" xfId="4989" xr:uid="{00000000-0005-0000-0000-0000DA130000}"/>
    <cellStyle name="SAPBEXaggDataEmph 28 2" xfId="4990" xr:uid="{00000000-0005-0000-0000-0000DB130000}"/>
    <cellStyle name="SAPBEXaggDataEmph 28 3" xfId="4991" xr:uid="{00000000-0005-0000-0000-0000DC130000}"/>
    <cellStyle name="SAPBEXaggDataEmph 28 4" xfId="4992" xr:uid="{00000000-0005-0000-0000-0000DD130000}"/>
    <cellStyle name="SAPBEXaggDataEmph 28 5" xfId="4993" xr:uid="{00000000-0005-0000-0000-0000DE130000}"/>
    <cellStyle name="SAPBEXaggDataEmph 28 6" xfId="4994" xr:uid="{00000000-0005-0000-0000-0000DF130000}"/>
    <cellStyle name="SAPBEXaggDataEmph 29" xfId="4995" xr:uid="{00000000-0005-0000-0000-0000E0130000}"/>
    <cellStyle name="SAPBEXaggDataEmph 29 2" xfId="4996" xr:uid="{00000000-0005-0000-0000-0000E1130000}"/>
    <cellStyle name="SAPBEXaggDataEmph 29 3" xfId="4997" xr:uid="{00000000-0005-0000-0000-0000E2130000}"/>
    <cellStyle name="SAPBEXaggDataEmph 29 4" xfId="4998" xr:uid="{00000000-0005-0000-0000-0000E3130000}"/>
    <cellStyle name="SAPBEXaggDataEmph 29 5" xfId="4999" xr:uid="{00000000-0005-0000-0000-0000E4130000}"/>
    <cellStyle name="SAPBEXaggDataEmph 29 6" xfId="5000" xr:uid="{00000000-0005-0000-0000-0000E5130000}"/>
    <cellStyle name="SAPBEXaggDataEmph 3" xfId="5001" xr:uid="{00000000-0005-0000-0000-0000E6130000}"/>
    <cellStyle name="SAPBEXaggDataEmph 3 10" xfId="5002" xr:uid="{00000000-0005-0000-0000-0000E7130000}"/>
    <cellStyle name="SAPBEXaggDataEmph 3 11" xfId="5003" xr:uid="{00000000-0005-0000-0000-0000E8130000}"/>
    <cellStyle name="SAPBEXaggDataEmph 3 12" xfId="5004" xr:uid="{00000000-0005-0000-0000-0000E9130000}"/>
    <cellStyle name="SAPBEXaggDataEmph 3 2" xfId="5005" xr:uid="{00000000-0005-0000-0000-0000EA130000}"/>
    <cellStyle name="SAPBEXaggDataEmph 3 2 2" xfId="5006" xr:uid="{00000000-0005-0000-0000-0000EB130000}"/>
    <cellStyle name="SAPBEXaggDataEmph 3 2 2 2" xfId="5007" xr:uid="{00000000-0005-0000-0000-0000EC130000}"/>
    <cellStyle name="SAPBEXaggDataEmph 3 2 2 3" xfId="5008" xr:uid="{00000000-0005-0000-0000-0000ED130000}"/>
    <cellStyle name="SAPBEXaggDataEmph 3 2 2 4" xfId="5009" xr:uid="{00000000-0005-0000-0000-0000EE130000}"/>
    <cellStyle name="SAPBEXaggDataEmph 3 2 2 5" xfId="5010" xr:uid="{00000000-0005-0000-0000-0000EF130000}"/>
    <cellStyle name="SAPBEXaggDataEmph 3 2 2 6" xfId="5011" xr:uid="{00000000-0005-0000-0000-0000F0130000}"/>
    <cellStyle name="SAPBEXaggDataEmph 3 2 3" xfId="5012" xr:uid="{00000000-0005-0000-0000-0000F1130000}"/>
    <cellStyle name="SAPBEXaggDataEmph 3 2 3 2" xfId="5013" xr:uid="{00000000-0005-0000-0000-0000F2130000}"/>
    <cellStyle name="SAPBEXaggDataEmph 3 2 3 3" xfId="5014" xr:uid="{00000000-0005-0000-0000-0000F3130000}"/>
    <cellStyle name="SAPBEXaggDataEmph 3 2 3 4" xfId="5015" xr:uid="{00000000-0005-0000-0000-0000F4130000}"/>
    <cellStyle name="SAPBEXaggDataEmph 3 2 3 5" xfId="5016" xr:uid="{00000000-0005-0000-0000-0000F5130000}"/>
    <cellStyle name="SAPBEXaggDataEmph 3 2 3 6" xfId="5017" xr:uid="{00000000-0005-0000-0000-0000F6130000}"/>
    <cellStyle name="SAPBEXaggDataEmph 3 2 4" xfId="5018" xr:uid="{00000000-0005-0000-0000-0000F7130000}"/>
    <cellStyle name="SAPBEXaggDataEmph 3 2 4 2" xfId="5019" xr:uid="{00000000-0005-0000-0000-0000F8130000}"/>
    <cellStyle name="SAPBEXaggDataEmph 3 2 4 3" xfId="5020" xr:uid="{00000000-0005-0000-0000-0000F9130000}"/>
    <cellStyle name="SAPBEXaggDataEmph 3 2 4 4" xfId="5021" xr:uid="{00000000-0005-0000-0000-0000FA130000}"/>
    <cellStyle name="SAPBEXaggDataEmph 3 2 4 5" xfId="5022" xr:uid="{00000000-0005-0000-0000-0000FB130000}"/>
    <cellStyle name="SAPBEXaggDataEmph 3 2 4 6" xfId="5023" xr:uid="{00000000-0005-0000-0000-0000FC130000}"/>
    <cellStyle name="SAPBEXaggDataEmph 3 2 5" xfId="5024" xr:uid="{00000000-0005-0000-0000-0000FD130000}"/>
    <cellStyle name="SAPBEXaggDataEmph 3 2 5 2" xfId="5025" xr:uid="{00000000-0005-0000-0000-0000FE130000}"/>
    <cellStyle name="SAPBEXaggDataEmph 3 2 5 3" xfId="5026" xr:uid="{00000000-0005-0000-0000-0000FF130000}"/>
    <cellStyle name="SAPBEXaggDataEmph 3 2 5 4" xfId="5027" xr:uid="{00000000-0005-0000-0000-000000140000}"/>
    <cellStyle name="SAPBEXaggDataEmph 3 2 5 5" xfId="5028" xr:uid="{00000000-0005-0000-0000-000001140000}"/>
    <cellStyle name="SAPBEXaggDataEmph 3 2 5 6" xfId="5029" xr:uid="{00000000-0005-0000-0000-000002140000}"/>
    <cellStyle name="SAPBEXaggDataEmph 3 2 6" xfId="5030" xr:uid="{00000000-0005-0000-0000-000003140000}"/>
    <cellStyle name="SAPBEXaggDataEmph 3 2 7" xfId="5031" xr:uid="{00000000-0005-0000-0000-000004140000}"/>
    <cellStyle name="SAPBEXaggDataEmph 3 2 8" xfId="5032" xr:uid="{00000000-0005-0000-0000-000005140000}"/>
    <cellStyle name="SAPBEXaggDataEmph 3 3" xfId="5033" xr:uid="{00000000-0005-0000-0000-000006140000}"/>
    <cellStyle name="SAPBEXaggDataEmph 3 3 2" xfId="5034" xr:uid="{00000000-0005-0000-0000-000007140000}"/>
    <cellStyle name="SAPBEXaggDataEmph 3 3 3" xfId="5035" xr:uid="{00000000-0005-0000-0000-000008140000}"/>
    <cellStyle name="SAPBEXaggDataEmph 3 3 4" xfId="5036" xr:uid="{00000000-0005-0000-0000-000009140000}"/>
    <cellStyle name="SAPBEXaggDataEmph 3 3 5" xfId="5037" xr:uid="{00000000-0005-0000-0000-00000A140000}"/>
    <cellStyle name="SAPBEXaggDataEmph 3 3 6" xfId="5038" xr:uid="{00000000-0005-0000-0000-00000B140000}"/>
    <cellStyle name="SAPBEXaggDataEmph 3 4" xfId="5039" xr:uid="{00000000-0005-0000-0000-00000C140000}"/>
    <cellStyle name="SAPBEXaggDataEmph 3 4 2" xfId="5040" xr:uid="{00000000-0005-0000-0000-00000D140000}"/>
    <cellStyle name="SAPBEXaggDataEmph 3 4 3" xfId="5041" xr:uid="{00000000-0005-0000-0000-00000E140000}"/>
    <cellStyle name="SAPBEXaggDataEmph 3 4 4" xfId="5042" xr:uid="{00000000-0005-0000-0000-00000F140000}"/>
    <cellStyle name="SAPBEXaggDataEmph 3 4 5" xfId="5043" xr:uid="{00000000-0005-0000-0000-000010140000}"/>
    <cellStyle name="SAPBEXaggDataEmph 3 4 6" xfId="5044" xr:uid="{00000000-0005-0000-0000-000011140000}"/>
    <cellStyle name="SAPBEXaggDataEmph 3 5" xfId="5045" xr:uid="{00000000-0005-0000-0000-000012140000}"/>
    <cellStyle name="SAPBEXaggDataEmph 3 5 2" xfId="5046" xr:uid="{00000000-0005-0000-0000-000013140000}"/>
    <cellStyle name="SAPBEXaggDataEmph 3 5 3" xfId="5047" xr:uid="{00000000-0005-0000-0000-000014140000}"/>
    <cellStyle name="SAPBEXaggDataEmph 3 5 4" xfId="5048" xr:uid="{00000000-0005-0000-0000-000015140000}"/>
    <cellStyle name="SAPBEXaggDataEmph 3 6" xfId="5049" xr:uid="{00000000-0005-0000-0000-000016140000}"/>
    <cellStyle name="SAPBEXaggDataEmph 3 6 2" xfId="5050" xr:uid="{00000000-0005-0000-0000-000017140000}"/>
    <cellStyle name="SAPBEXaggDataEmph 3 6 3" xfId="5051" xr:uid="{00000000-0005-0000-0000-000018140000}"/>
    <cellStyle name="SAPBEXaggDataEmph 3 6 4" xfId="5052" xr:uid="{00000000-0005-0000-0000-000019140000}"/>
    <cellStyle name="SAPBEXaggDataEmph 3 7" xfId="5053" xr:uid="{00000000-0005-0000-0000-00001A140000}"/>
    <cellStyle name="SAPBEXaggDataEmph 3 7 2" xfId="5054" xr:uid="{00000000-0005-0000-0000-00001B140000}"/>
    <cellStyle name="SAPBEXaggDataEmph 3 7 3" xfId="5055" xr:uid="{00000000-0005-0000-0000-00001C140000}"/>
    <cellStyle name="SAPBEXaggDataEmph 3 7 4" xfId="5056" xr:uid="{00000000-0005-0000-0000-00001D140000}"/>
    <cellStyle name="SAPBEXaggDataEmph 3 8" xfId="5057" xr:uid="{00000000-0005-0000-0000-00001E140000}"/>
    <cellStyle name="SAPBEXaggDataEmph 3 9" xfId="5058" xr:uid="{00000000-0005-0000-0000-00001F140000}"/>
    <cellStyle name="SAPBEXaggDataEmph 30" xfId="5059" xr:uid="{00000000-0005-0000-0000-000020140000}"/>
    <cellStyle name="SAPBEXaggDataEmph 30 2" xfId="5060" xr:uid="{00000000-0005-0000-0000-000021140000}"/>
    <cellStyle name="SAPBEXaggDataEmph 30 3" xfId="5061" xr:uid="{00000000-0005-0000-0000-000022140000}"/>
    <cellStyle name="SAPBEXaggDataEmph 30 4" xfId="5062" xr:uid="{00000000-0005-0000-0000-000023140000}"/>
    <cellStyle name="SAPBEXaggDataEmph 30 5" xfId="5063" xr:uid="{00000000-0005-0000-0000-000024140000}"/>
    <cellStyle name="SAPBEXaggDataEmph 30 6" xfId="5064" xr:uid="{00000000-0005-0000-0000-000025140000}"/>
    <cellStyle name="SAPBEXaggDataEmph 31" xfId="5065" xr:uid="{00000000-0005-0000-0000-000026140000}"/>
    <cellStyle name="SAPBEXaggDataEmph 31 2" xfId="5066" xr:uid="{00000000-0005-0000-0000-000027140000}"/>
    <cellStyle name="SAPBEXaggDataEmph 31 3" xfId="5067" xr:uid="{00000000-0005-0000-0000-000028140000}"/>
    <cellStyle name="SAPBEXaggDataEmph 31 4" xfId="5068" xr:uid="{00000000-0005-0000-0000-000029140000}"/>
    <cellStyle name="SAPBEXaggDataEmph 31 5" xfId="5069" xr:uid="{00000000-0005-0000-0000-00002A140000}"/>
    <cellStyle name="SAPBEXaggDataEmph 31 6" xfId="5070" xr:uid="{00000000-0005-0000-0000-00002B140000}"/>
    <cellStyle name="SAPBEXaggDataEmph 32" xfId="5071" xr:uid="{00000000-0005-0000-0000-00002C140000}"/>
    <cellStyle name="SAPBEXaggDataEmph 32 2" xfId="5072" xr:uid="{00000000-0005-0000-0000-00002D140000}"/>
    <cellStyle name="SAPBEXaggDataEmph 32 3" xfId="5073" xr:uid="{00000000-0005-0000-0000-00002E140000}"/>
    <cellStyle name="SAPBEXaggDataEmph 32 4" xfId="5074" xr:uid="{00000000-0005-0000-0000-00002F140000}"/>
    <cellStyle name="SAPBEXaggDataEmph 32 5" xfId="5075" xr:uid="{00000000-0005-0000-0000-000030140000}"/>
    <cellStyle name="SAPBEXaggDataEmph 32 6" xfId="5076" xr:uid="{00000000-0005-0000-0000-000031140000}"/>
    <cellStyle name="SAPBEXaggDataEmph 33" xfId="5077" xr:uid="{00000000-0005-0000-0000-000032140000}"/>
    <cellStyle name="SAPBEXaggDataEmph 34" xfId="5078" xr:uid="{00000000-0005-0000-0000-000033140000}"/>
    <cellStyle name="SAPBEXaggDataEmph 35" xfId="5079" xr:uid="{00000000-0005-0000-0000-000034140000}"/>
    <cellStyle name="SAPBEXaggDataEmph 36" xfId="27794" xr:uid="{00000000-0005-0000-0000-000035140000}"/>
    <cellStyle name="SAPBEXaggDataEmph 37" xfId="27903" xr:uid="{00000000-0005-0000-0000-000036140000}"/>
    <cellStyle name="SAPBEXaggDataEmph 38" xfId="27970" xr:uid="{00000000-0005-0000-0000-000037140000}"/>
    <cellStyle name="SAPBEXaggDataEmph 39" xfId="28003" xr:uid="{00000000-0005-0000-0000-000038140000}"/>
    <cellStyle name="SAPBEXaggDataEmph 4" xfId="5080" xr:uid="{00000000-0005-0000-0000-000039140000}"/>
    <cellStyle name="SAPBEXaggDataEmph 4 2" xfId="5081" xr:uid="{00000000-0005-0000-0000-00003A140000}"/>
    <cellStyle name="SAPBEXaggDataEmph 4 3" xfId="5082" xr:uid="{00000000-0005-0000-0000-00003B140000}"/>
    <cellStyle name="SAPBEXaggDataEmph 4 4" xfId="5083" xr:uid="{00000000-0005-0000-0000-00003C140000}"/>
    <cellStyle name="SAPBEXaggDataEmph 4 5" xfId="5084" xr:uid="{00000000-0005-0000-0000-00003D140000}"/>
    <cellStyle name="SAPBEXaggDataEmph 4 6" xfId="5085" xr:uid="{00000000-0005-0000-0000-00003E140000}"/>
    <cellStyle name="SAPBEXaggDataEmph 40" xfId="28142" xr:uid="{00000000-0005-0000-0000-00003F140000}"/>
    <cellStyle name="SAPBEXaggDataEmph 5" xfId="5086" xr:uid="{00000000-0005-0000-0000-000040140000}"/>
    <cellStyle name="SAPBEXaggDataEmph 5 2" xfId="5087" xr:uid="{00000000-0005-0000-0000-000041140000}"/>
    <cellStyle name="SAPBEXaggDataEmph 5 3" xfId="5088" xr:uid="{00000000-0005-0000-0000-000042140000}"/>
    <cellStyle name="SAPBEXaggDataEmph 5 4" xfId="5089" xr:uid="{00000000-0005-0000-0000-000043140000}"/>
    <cellStyle name="SAPBEXaggDataEmph 5 5" xfId="5090" xr:uid="{00000000-0005-0000-0000-000044140000}"/>
    <cellStyle name="SAPBEXaggDataEmph 5 6" xfId="5091" xr:uid="{00000000-0005-0000-0000-000045140000}"/>
    <cellStyle name="SAPBEXaggDataEmph 6" xfId="5092" xr:uid="{00000000-0005-0000-0000-000046140000}"/>
    <cellStyle name="SAPBEXaggDataEmph 6 10" xfId="5093" xr:uid="{00000000-0005-0000-0000-000047140000}"/>
    <cellStyle name="SAPBEXaggDataEmph 6 2" xfId="5094" xr:uid="{00000000-0005-0000-0000-000048140000}"/>
    <cellStyle name="SAPBEXaggDataEmph 6 2 2" xfId="5095" xr:uid="{00000000-0005-0000-0000-000049140000}"/>
    <cellStyle name="SAPBEXaggDataEmph 6 2 3" xfId="5096" xr:uid="{00000000-0005-0000-0000-00004A140000}"/>
    <cellStyle name="SAPBEXaggDataEmph 6 2 4" xfId="5097" xr:uid="{00000000-0005-0000-0000-00004B140000}"/>
    <cellStyle name="SAPBEXaggDataEmph 6 3" xfId="5098" xr:uid="{00000000-0005-0000-0000-00004C140000}"/>
    <cellStyle name="SAPBEXaggDataEmph 6 3 2" xfId="5099" xr:uid="{00000000-0005-0000-0000-00004D140000}"/>
    <cellStyle name="SAPBEXaggDataEmph 6 3 3" xfId="5100" xr:uid="{00000000-0005-0000-0000-00004E140000}"/>
    <cellStyle name="SAPBEXaggDataEmph 6 3 4" xfId="5101" xr:uid="{00000000-0005-0000-0000-00004F140000}"/>
    <cellStyle name="SAPBEXaggDataEmph 6 4" xfId="5102" xr:uid="{00000000-0005-0000-0000-000050140000}"/>
    <cellStyle name="SAPBEXaggDataEmph 6 4 2" xfId="5103" xr:uid="{00000000-0005-0000-0000-000051140000}"/>
    <cellStyle name="SAPBEXaggDataEmph 6 4 3" xfId="5104" xr:uid="{00000000-0005-0000-0000-000052140000}"/>
    <cellStyle name="SAPBEXaggDataEmph 6 4 4" xfId="5105" xr:uid="{00000000-0005-0000-0000-000053140000}"/>
    <cellStyle name="SAPBEXaggDataEmph 6 5" xfId="5106" xr:uid="{00000000-0005-0000-0000-000054140000}"/>
    <cellStyle name="SAPBEXaggDataEmph 6 5 2" xfId="5107" xr:uid="{00000000-0005-0000-0000-000055140000}"/>
    <cellStyle name="SAPBEXaggDataEmph 6 5 3" xfId="5108" xr:uid="{00000000-0005-0000-0000-000056140000}"/>
    <cellStyle name="SAPBEXaggDataEmph 6 5 4" xfId="5109" xr:uid="{00000000-0005-0000-0000-000057140000}"/>
    <cellStyle name="SAPBEXaggDataEmph 6 6" xfId="5110" xr:uid="{00000000-0005-0000-0000-000058140000}"/>
    <cellStyle name="SAPBEXaggDataEmph 6 7" xfId="5111" xr:uid="{00000000-0005-0000-0000-000059140000}"/>
    <cellStyle name="SAPBEXaggDataEmph 6 8" xfId="5112" xr:uid="{00000000-0005-0000-0000-00005A140000}"/>
    <cellStyle name="SAPBEXaggDataEmph 6 9" xfId="5113" xr:uid="{00000000-0005-0000-0000-00005B140000}"/>
    <cellStyle name="SAPBEXaggDataEmph 7" xfId="5114" xr:uid="{00000000-0005-0000-0000-00005C140000}"/>
    <cellStyle name="SAPBEXaggDataEmph 7 10" xfId="5115" xr:uid="{00000000-0005-0000-0000-00005D140000}"/>
    <cellStyle name="SAPBEXaggDataEmph 7 2" xfId="5116" xr:uid="{00000000-0005-0000-0000-00005E140000}"/>
    <cellStyle name="SAPBEXaggDataEmph 7 2 2" xfId="5117" xr:uid="{00000000-0005-0000-0000-00005F140000}"/>
    <cellStyle name="SAPBEXaggDataEmph 7 2 3" xfId="5118" xr:uid="{00000000-0005-0000-0000-000060140000}"/>
    <cellStyle name="SAPBEXaggDataEmph 7 2 4" xfId="5119" xr:uid="{00000000-0005-0000-0000-000061140000}"/>
    <cellStyle name="SAPBEXaggDataEmph 7 3" xfId="5120" xr:uid="{00000000-0005-0000-0000-000062140000}"/>
    <cellStyle name="SAPBEXaggDataEmph 7 3 2" xfId="5121" xr:uid="{00000000-0005-0000-0000-000063140000}"/>
    <cellStyle name="SAPBEXaggDataEmph 7 3 3" xfId="5122" xr:uid="{00000000-0005-0000-0000-000064140000}"/>
    <cellStyle name="SAPBEXaggDataEmph 7 3 4" xfId="5123" xr:uid="{00000000-0005-0000-0000-000065140000}"/>
    <cellStyle name="SAPBEXaggDataEmph 7 4" xfId="5124" xr:uid="{00000000-0005-0000-0000-000066140000}"/>
    <cellStyle name="SAPBEXaggDataEmph 7 4 2" xfId="5125" xr:uid="{00000000-0005-0000-0000-000067140000}"/>
    <cellStyle name="SAPBEXaggDataEmph 7 4 3" xfId="5126" xr:uid="{00000000-0005-0000-0000-000068140000}"/>
    <cellStyle name="SAPBEXaggDataEmph 7 4 4" xfId="5127" xr:uid="{00000000-0005-0000-0000-000069140000}"/>
    <cellStyle name="SAPBEXaggDataEmph 7 5" xfId="5128" xr:uid="{00000000-0005-0000-0000-00006A140000}"/>
    <cellStyle name="SAPBEXaggDataEmph 7 5 2" xfId="5129" xr:uid="{00000000-0005-0000-0000-00006B140000}"/>
    <cellStyle name="SAPBEXaggDataEmph 7 5 3" xfId="5130" xr:uid="{00000000-0005-0000-0000-00006C140000}"/>
    <cellStyle name="SAPBEXaggDataEmph 7 5 4" xfId="5131" xr:uid="{00000000-0005-0000-0000-00006D140000}"/>
    <cellStyle name="SAPBEXaggDataEmph 7 6" xfId="5132" xr:uid="{00000000-0005-0000-0000-00006E140000}"/>
    <cellStyle name="SAPBEXaggDataEmph 7 7" xfId="5133" xr:uid="{00000000-0005-0000-0000-00006F140000}"/>
    <cellStyle name="SAPBEXaggDataEmph 7 8" xfId="5134" xr:uid="{00000000-0005-0000-0000-000070140000}"/>
    <cellStyle name="SAPBEXaggDataEmph 7 9" xfId="5135" xr:uid="{00000000-0005-0000-0000-000071140000}"/>
    <cellStyle name="SAPBEXaggDataEmph 8" xfId="5136" xr:uid="{00000000-0005-0000-0000-000072140000}"/>
    <cellStyle name="SAPBEXaggDataEmph 8 2" xfId="5137" xr:uid="{00000000-0005-0000-0000-000073140000}"/>
    <cellStyle name="SAPBEXaggDataEmph 8 3" xfId="5138" xr:uid="{00000000-0005-0000-0000-000074140000}"/>
    <cellStyle name="SAPBEXaggDataEmph 8 4" xfId="5139" xr:uid="{00000000-0005-0000-0000-000075140000}"/>
    <cellStyle name="SAPBEXaggDataEmph 8 5" xfId="5140" xr:uid="{00000000-0005-0000-0000-000076140000}"/>
    <cellStyle name="SAPBEXaggDataEmph 8 6" xfId="5141" xr:uid="{00000000-0005-0000-0000-000077140000}"/>
    <cellStyle name="SAPBEXaggDataEmph 9" xfId="5142" xr:uid="{00000000-0005-0000-0000-000078140000}"/>
    <cellStyle name="SAPBEXaggDataEmph 9 2" xfId="5143" xr:uid="{00000000-0005-0000-0000-000079140000}"/>
    <cellStyle name="SAPBEXaggDataEmph 9 3" xfId="5144" xr:uid="{00000000-0005-0000-0000-00007A140000}"/>
    <cellStyle name="SAPBEXaggDataEmph 9 4" xfId="5145" xr:uid="{00000000-0005-0000-0000-00007B140000}"/>
    <cellStyle name="SAPBEXaggDataEmph 9 5" xfId="5146" xr:uid="{00000000-0005-0000-0000-00007C140000}"/>
    <cellStyle name="SAPBEXaggDataEmph 9 6" xfId="5147" xr:uid="{00000000-0005-0000-0000-00007D140000}"/>
    <cellStyle name="SAPBEXaggDataEmph_Receipts" xfId="5148" xr:uid="{00000000-0005-0000-0000-00007E140000}"/>
    <cellStyle name="SAPBEXaggItem" xfId="5149" xr:uid="{00000000-0005-0000-0000-00007F140000}"/>
    <cellStyle name="SAPBEXaggItem 10" xfId="5150" xr:uid="{00000000-0005-0000-0000-000080140000}"/>
    <cellStyle name="SAPBEXaggItem 10 2" xfId="5151" xr:uid="{00000000-0005-0000-0000-000081140000}"/>
    <cellStyle name="SAPBEXaggItem 10 3" xfId="5152" xr:uid="{00000000-0005-0000-0000-000082140000}"/>
    <cellStyle name="SAPBEXaggItem 10 4" xfId="5153" xr:uid="{00000000-0005-0000-0000-000083140000}"/>
    <cellStyle name="SAPBEXaggItem 10 5" xfId="5154" xr:uid="{00000000-0005-0000-0000-000084140000}"/>
    <cellStyle name="SAPBEXaggItem 10 6" xfId="5155" xr:uid="{00000000-0005-0000-0000-000085140000}"/>
    <cellStyle name="SAPBEXaggItem 11" xfId="5156" xr:uid="{00000000-0005-0000-0000-000086140000}"/>
    <cellStyle name="SAPBEXaggItem 11 2" xfId="5157" xr:uid="{00000000-0005-0000-0000-000087140000}"/>
    <cellStyle name="SAPBEXaggItem 11 3" xfId="5158" xr:uid="{00000000-0005-0000-0000-000088140000}"/>
    <cellStyle name="SAPBEXaggItem 11 4" xfId="5159" xr:uid="{00000000-0005-0000-0000-000089140000}"/>
    <cellStyle name="SAPBEXaggItem 11 5" xfId="5160" xr:uid="{00000000-0005-0000-0000-00008A140000}"/>
    <cellStyle name="SAPBEXaggItem 11 6" xfId="5161" xr:uid="{00000000-0005-0000-0000-00008B140000}"/>
    <cellStyle name="SAPBEXaggItem 119" xfId="28079" xr:uid="{00000000-0005-0000-0000-00008C140000}"/>
    <cellStyle name="SAPBEXaggItem 12" xfId="5162" xr:uid="{00000000-0005-0000-0000-00008D140000}"/>
    <cellStyle name="SAPBEXaggItem 12 2" xfId="5163" xr:uid="{00000000-0005-0000-0000-00008E140000}"/>
    <cellStyle name="SAPBEXaggItem 12 3" xfId="5164" xr:uid="{00000000-0005-0000-0000-00008F140000}"/>
    <cellStyle name="SAPBEXaggItem 12 4" xfId="5165" xr:uid="{00000000-0005-0000-0000-000090140000}"/>
    <cellStyle name="SAPBEXaggItem 12 5" xfId="5166" xr:uid="{00000000-0005-0000-0000-000091140000}"/>
    <cellStyle name="SAPBEXaggItem 12 6" xfId="5167" xr:uid="{00000000-0005-0000-0000-000092140000}"/>
    <cellStyle name="SAPBEXaggItem 13" xfId="5168" xr:uid="{00000000-0005-0000-0000-000093140000}"/>
    <cellStyle name="SAPBEXaggItem 13 2" xfId="5169" xr:uid="{00000000-0005-0000-0000-000094140000}"/>
    <cellStyle name="SAPBEXaggItem 13 3" xfId="5170" xr:uid="{00000000-0005-0000-0000-000095140000}"/>
    <cellStyle name="SAPBEXaggItem 13 4" xfId="5171" xr:uid="{00000000-0005-0000-0000-000096140000}"/>
    <cellStyle name="SAPBEXaggItem 13 5" xfId="5172" xr:uid="{00000000-0005-0000-0000-000097140000}"/>
    <cellStyle name="SAPBEXaggItem 13 6" xfId="5173" xr:uid="{00000000-0005-0000-0000-000098140000}"/>
    <cellStyle name="SAPBEXaggItem 14" xfId="5174" xr:uid="{00000000-0005-0000-0000-000099140000}"/>
    <cellStyle name="SAPBEXaggItem 14 2" xfId="5175" xr:uid="{00000000-0005-0000-0000-00009A140000}"/>
    <cellStyle name="SAPBEXaggItem 14 3" xfId="5176" xr:uid="{00000000-0005-0000-0000-00009B140000}"/>
    <cellStyle name="SAPBEXaggItem 14 4" xfId="5177" xr:uid="{00000000-0005-0000-0000-00009C140000}"/>
    <cellStyle name="SAPBEXaggItem 14 5" xfId="5178" xr:uid="{00000000-0005-0000-0000-00009D140000}"/>
    <cellStyle name="SAPBEXaggItem 14 6" xfId="5179" xr:uid="{00000000-0005-0000-0000-00009E140000}"/>
    <cellStyle name="SAPBEXaggItem 15" xfId="5180" xr:uid="{00000000-0005-0000-0000-00009F140000}"/>
    <cellStyle name="SAPBEXaggItem 15 2" xfId="5181" xr:uid="{00000000-0005-0000-0000-0000A0140000}"/>
    <cellStyle name="SAPBEXaggItem 15 3" xfId="5182" xr:uid="{00000000-0005-0000-0000-0000A1140000}"/>
    <cellStyle name="SAPBEXaggItem 15 4" xfId="5183" xr:uid="{00000000-0005-0000-0000-0000A2140000}"/>
    <cellStyle name="SAPBEXaggItem 15 5" xfId="5184" xr:uid="{00000000-0005-0000-0000-0000A3140000}"/>
    <cellStyle name="SAPBEXaggItem 15 6" xfId="5185" xr:uid="{00000000-0005-0000-0000-0000A4140000}"/>
    <cellStyle name="SAPBEXaggItem 16" xfId="5186" xr:uid="{00000000-0005-0000-0000-0000A5140000}"/>
    <cellStyle name="SAPBEXaggItem 16 2" xfId="5187" xr:uid="{00000000-0005-0000-0000-0000A6140000}"/>
    <cellStyle name="SAPBEXaggItem 16 3" xfId="5188" xr:uid="{00000000-0005-0000-0000-0000A7140000}"/>
    <cellStyle name="SAPBEXaggItem 16 4" xfId="5189" xr:uid="{00000000-0005-0000-0000-0000A8140000}"/>
    <cellStyle name="SAPBEXaggItem 16 5" xfId="5190" xr:uid="{00000000-0005-0000-0000-0000A9140000}"/>
    <cellStyle name="SAPBEXaggItem 16 6" xfId="5191" xr:uid="{00000000-0005-0000-0000-0000AA140000}"/>
    <cellStyle name="SAPBEXaggItem 17" xfId="5192" xr:uid="{00000000-0005-0000-0000-0000AB140000}"/>
    <cellStyle name="SAPBEXaggItem 17 2" xfId="5193" xr:uid="{00000000-0005-0000-0000-0000AC140000}"/>
    <cellStyle name="SAPBEXaggItem 17 3" xfId="5194" xr:uid="{00000000-0005-0000-0000-0000AD140000}"/>
    <cellStyle name="SAPBEXaggItem 17 4" xfId="5195" xr:uid="{00000000-0005-0000-0000-0000AE140000}"/>
    <cellStyle name="SAPBEXaggItem 17 5" xfId="5196" xr:uid="{00000000-0005-0000-0000-0000AF140000}"/>
    <cellStyle name="SAPBEXaggItem 17 6" xfId="5197" xr:uid="{00000000-0005-0000-0000-0000B0140000}"/>
    <cellStyle name="SAPBEXaggItem 18" xfId="5198" xr:uid="{00000000-0005-0000-0000-0000B1140000}"/>
    <cellStyle name="SAPBEXaggItem 18 2" xfId="5199" xr:uid="{00000000-0005-0000-0000-0000B2140000}"/>
    <cellStyle name="SAPBEXaggItem 18 3" xfId="5200" xr:uid="{00000000-0005-0000-0000-0000B3140000}"/>
    <cellStyle name="SAPBEXaggItem 18 4" xfId="5201" xr:uid="{00000000-0005-0000-0000-0000B4140000}"/>
    <cellStyle name="SAPBEXaggItem 18 5" xfId="5202" xr:uid="{00000000-0005-0000-0000-0000B5140000}"/>
    <cellStyle name="SAPBEXaggItem 18 6" xfId="5203" xr:uid="{00000000-0005-0000-0000-0000B6140000}"/>
    <cellStyle name="SAPBEXaggItem 19" xfId="5204" xr:uid="{00000000-0005-0000-0000-0000B7140000}"/>
    <cellStyle name="SAPBEXaggItem 19 2" xfId="5205" xr:uid="{00000000-0005-0000-0000-0000B8140000}"/>
    <cellStyle name="SAPBEXaggItem 19 3" xfId="5206" xr:uid="{00000000-0005-0000-0000-0000B9140000}"/>
    <cellStyle name="SAPBEXaggItem 19 4" xfId="5207" xr:uid="{00000000-0005-0000-0000-0000BA140000}"/>
    <cellStyle name="SAPBEXaggItem 19 5" xfId="5208" xr:uid="{00000000-0005-0000-0000-0000BB140000}"/>
    <cellStyle name="SAPBEXaggItem 19 6" xfId="5209" xr:uid="{00000000-0005-0000-0000-0000BC140000}"/>
    <cellStyle name="SAPBEXaggItem 2" xfId="5210" xr:uid="{00000000-0005-0000-0000-0000BD140000}"/>
    <cellStyle name="SAPBEXaggItem 2 10" xfId="5211" xr:uid="{00000000-0005-0000-0000-0000BE140000}"/>
    <cellStyle name="SAPBEXaggItem 2 10 2" xfId="5212" xr:uid="{00000000-0005-0000-0000-0000BF140000}"/>
    <cellStyle name="SAPBEXaggItem 2 10 3" xfId="5213" xr:uid="{00000000-0005-0000-0000-0000C0140000}"/>
    <cellStyle name="SAPBEXaggItem 2 10 4" xfId="5214" xr:uid="{00000000-0005-0000-0000-0000C1140000}"/>
    <cellStyle name="SAPBEXaggItem 2 11" xfId="5215" xr:uid="{00000000-0005-0000-0000-0000C2140000}"/>
    <cellStyle name="SAPBEXaggItem 2 11 2" xfId="5216" xr:uid="{00000000-0005-0000-0000-0000C3140000}"/>
    <cellStyle name="SAPBEXaggItem 2 11 3" xfId="5217" xr:uid="{00000000-0005-0000-0000-0000C4140000}"/>
    <cellStyle name="SAPBEXaggItem 2 11 4" xfId="5218" xr:uid="{00000000-0005-0000-0000-0000C5140000}"/>
    <cellStyle name="SAPBEXaggItem 2 12" xfId="5219" xr:uid="{00000000-0005-0000-0000-0000C6140000}"/>
    <cellStyle name="SAPBEXaggItem 2 12 2" xfId="5220" xr:uid="{00000000-0005-0000-0000-0000C7140000}"/>
    <cellStyle name="SAPBEXaggItem 2 12 3" xfId="5221" xr:uid="{00000000-0005-0000-0000-0000C8140000}"/>
    <cellStyle name="SAPBEXaggItem 2 12 4" xfId="5222" xr:uid="{00000000-0005-0000-0000-0000C9140000}"/>
    <cellStyle name="SAPBEXaggItem 2 13" xfId="5223" xr:uid="{00000000-0005-0000-0000-0000CA140000}"/>
    <cellStyle name="SAPBEXaggItem 2 13 2" xfId="5224" xr:uid="{00000000-0005-0000-0000-0000CB140000}"/>
    <cellStyle name="SAPBEXaggItem 2 13 3" xfId="5225" xr:uid="{00000000-0005-0000-0000-0000CC140000}"/>
    <cellStyle name="SAPBEXaggItem 2 13 4" xfId="5226" xr:uid="{00000000-0005-0000-0000-0000CD140000}"/>
    <cellStyle name="SAPBEXaggItem 2 14" xfId="5227" xr:uid="{00000000-0005-0000-0000-0000CE140000}"/>
    <cellStyle name="SAPBEXaggItem 2 15" xfId="5228" xr:uid="{00000000-0005-0000-0000-0000CF140000}"/>
    <cellStyle name="SAPBEXaggItem 2 16" xfId="5229" xr:uid="{00000000-0005-0000-0000-0000D0140000}"/>
    <cellStyle name="SAPBEXaggItem 2 17" xfId="5230" xr:uid="{00000000-0005-0000-0000-0000D1140000}"/>
    <cellStyle name="SAPBEXaggItem 2 18" xfId="5231" xr:uid="{00000000-0005-0000-0000-0000D2140000}"/>
    <cellStyle name="SAPBEXaggItem 2 2" xfId="5232" xr:uid="{00000000-0005-0000-0000-0000D3140000}"/>
    <cellStyle name="SAPBEXaggItem 2 2 2" xfId="5233" xr:uid="{00000000-0005-0000-0000-0000D4140000}"/>
    <cellStyle name="SAPBEXaggItem 2 2 2 2" xfId="5234" xr:uid="{00000000-0005-0000-0000-0000D5140000}"/>
    <cellStyle name="SAPBEXaggItem 2 2 2 3" xfId="5235" xr:uid="{00000000-0005-0000-0000-0000D6140000}"/>
    <cellStyle name="SAPBEXaggItem 2 2 2 4" xfId="5236" xr:uid="{00000000-0005-0000-0000-0000D7140000}"/>
    <cellStyle name="SAPBEXaggItem 2 2 2 5" xfId="5237" xr:uid="{00000000-0005-0000-0000-0000D8140000}"/>
    <cellStyle name="SAPBEXaggItem 2 2 2 6" xfId="5238" xr:uid="{00000000-0005-0000-0000-0000D9140000}"/>
    <cellStyle name="SAPBEXaggItem 2 2 3" xfId="5239" xr:uid="{00000000-0005-0000-0000-0000DA140000}"/>
    <cellStyle name="SAPBEXaggItem 2 2 3 2" xfId="5240" xr:uid="{00000000-0005-0000-0000-0000DB140000}"/>
    <cellStyle name="SAPBEXaggItem 2 2 3 3" xfId="5241" xr:uid="{00000000-0005-0000-0000-0000DC140000}"/>
    <cellStyle name="SAPBEXaggItem 2 2 3 4" xfId="5242" xr:uid="{00000000-0005-0000-0000-0000DD140000}"/>
    <cellStyle name="SAPBEXaggItem 2 2 3 5" xfId="5243" xr:uid="{00000000-0005-0000-0000-0000DE140000}"/>
    <cellStyle name="SAPBEXaggItem 2 2 3 6" xfId="5244" xr:uid="{00000000-0005-0000-0000-0000DF140000}"/>
    <cellStyle name="SAPBEXaggItem 2 2 4" xfId="5245" xr:uid="{00000000-0005-0000-0000-0000E0140000}"/>
    <cellStyle name="SAPBEXaggItem 2 2 4 2" xfId="5246" xr:uid="{00000000-0005-0000-0000-0000E1140000}"/>
    <cellStyle name="SAPBEXaggItem 2 2 4 3" xfId="5247" xr:uid="{00000000-0005-0000-0000-0000E2140000}"/>
    <cellStyle name="SAPBEXaggItem 2 2 4 4" xfId="5248" xr:uid="{00000000-0005-0000-0000-0000E3140000}"/>
    <cellStyle name="SAPBEXaggItem 2 2 4 5" xfId="5249" xr:uid="{00000000-0005-0000-0000-0000E4140000}"/>
    <cellStyle name="SAPBEXaggItem 2 2 4 6" xfId="5250" xr:uid="{00000000-0005-0000-0000-0000E5140000}"/>
    <cellStyle name="SAPBEXaggItem 2 2 5" xfId="5251" xr:uid="{00000000-0005-0000-0000-0000E6140000}"/>
    <cellStyle name="SAPBEXaggItem 2 2 5 2" xfId="5252" xr:uid="{00000000-0005-0000-0000-0000E7140000}"/>
    <cellStyle name="SAPBEXaggItem 2 2 5 3" xfId="5253" xr:uid="{00000000-0005-0000-0000-0000E8140000}"/>
    <cellStyle name="SAPBEXaggItem 2 2 5 4" xfId="5254" xr:uid="{00000000-0005-0000-0000-0000E9140000}"/>
    <cellStyle name="SAPBEXaggItem 2 2 5 5" xfId="5255" xr:uid="{00000000-0005-0000-0000-0000EA140000}"/>
    <cellStyle name="SAPBEXaggItem 2 2 5 6" xfId="5256" xr:uid="{00000000-0005-0000-0000-0000EB140000}"/>
    <cellStyle name="SAPBEXaggItem 2 2 6" xfId="5257" xr:uid="{00000000-0005-0000-0000-0000EC140000}"/>
    <cellStyle name="SAPBEXaggItem 2 2 7" xfId="5258" xr:uid="{00000000-0005-0000-0000-0000ED140000}"/>
    <cellStyle name="SAPBEXaggItem 2 2 8" xfId="5259" xr:uid="{00000000-0005-0000-0000-0000EE140000}"/>
    <cellStyle name="SAPBEXaggItem 2 3" xfId="5260" xr:uid="{00000000-0005-0000-0000-0000EF140000}"/>
    <cellStyle name="SAPBEXaggItem 2 3 2" xfId="5261" xr:uid="{00000000-0005-0000-0000-0000F0140000}"/>
    <cellStyle name="SAPBEXaggItem 2 3 2 2" xfId="5262" xr:uid="{00000000-0005-0000-0000-0000F1140000}"/>
    <cellStyle name="SAPBEXaggItem 2 3 2 3" xfId="5263" xr:uid="{00000000-0005-0000-0000-0000F2140000}"/>
    <cellStyle name="SAPBEXaggItem 2 3 2 4" xfId="5264" xr:uid="{00000000-0005-0000-0000-0000F3140000}"/>
    <cellStyle name="SAPBEXaggItem 2 3 2 5" xfId="5265" xr:uid="{00000000-0005-0000-0000-0000F4140000}"/>
    <cellStyle name="SAPBEXaggItem 2 3 2 6" xfId="5266" xr:uid="{00000000-0005-0000-0000-0000F5140000}"/>
    <cellStyle name="SAPBEXaggItem 2 3 3" xfId="5267" xr:uid="{00000000-0005-0000-0000-0000F6140000}"/>
    <cellStyle name="SAPBEXaggItem 2 3 3 2" xfId="5268" xr:uid="{00000000-0005-0000-0000-0000F7140000}"/>
    <cellStyle name="SAPBEXaggItem 2 3 3 3" xfId="5269" xr:uid="{00000000-0005-0000-0000-0000F8140000}"/>
    <cellStyle name="SAPBEXaggItem 2 3 3 4" xfId="5270" xr:uid="{00000000-0005-0000-0000-0000F9140000}"/>
    <cellStyle name="SAPBEXaggItem 2 3 3 5" xfId="5271" xr:uid="{00000000-0005-0000-0000-0000FA140000}"/>
    <cellStyle name="SAPBEXaggItem 2 3 3 6" xfId="5272" xr:uid="{00000000-0005-0000-0000-0000FB140000}"/>
    <cellStyle name="SAPBEXaggItem 2 3 4" xfId="5273" xr:uid="{00000000-0005-0000-0000-0000FC140000}"/>
    <cellStyle name="SAPBEXaggItem 2 3 4 2" xfId="5274" xr:uid="{00000000-0005-0000-0000-0000FD140000}"/>
    <cellStyle name="SAPBEXaggItem 2 3 4 3" xfId="5275" xr:uid="{00000000-0005-0000-0000-0000FE140000}"/>
    <cellStyle name="SAPBEXaggItem 2 3 4 4" xfId="5276" xr:uid="{00000000-0005-0000-0000-0000FF140000}"/>
    <cellStyle name="SAPBEXaggItem 2 3 4 5" xfId="5277" xr:uid="{00000000-0005-0000-0000-000000150000}"/>
    <cellStyle name="SAPBEXaggItem 2 3 4 6" xfId="5278" xr:uid="{00000000-0005-0000-0000-000001150000}"/>
    <cellStyle name="SAPBEXaggItem 2 3 5" xfId="5279" xr:uid="{00000000-0005-0000-0000-000002150000}"/>
    <cellStyle name="SAPBEXaggItem 2 3 5 2" xfId="5280" xr:uid="{00000000-0005-0000-0000-000003150000}"/>
    <cellStyle name="SAPBEXaggItem 2 3 5 3" xfId="5281" xr:uid="{00000000-0005-0000-0000-000004150000}"/>
    <cellStyle name="SAPBEXaggItem 2 3 5 4" xfId="5282" xr:uid="{00000000-0005-0000-0000-000005150000}"/>
    <cellStyle name="SAPBEXaggItem 2 3 5 5" xfId="5283" xr:uid="{00000000-0005-0000-0000-000006150000}"/>
    <cellStyle name="SAPBEXaggItem 2 3 5 6" xfId="5284" xr:uid="{00000000-0005-0000-0000-000007150000}"/>
    <cellStyle name="SAPBEXaggItem 2 3 6" xfId="5285" xr:uid="{00000000-0005-0000-0000-000008150000}"/>
    <cellStyle name="SAPBEXaggItem 2 3 7" xfId="5286" xr:uid="{00000000-0005-0000-0000-000009150000}"/>
    <cellStyle name="SAPBEXaggItem 2 3 8" xfId="5287" xr:uid="{00000000-0005-0000-0000-00000A150000}"/>
    <cellStyle name="SAPBEXaggItem 2 4" xfId="5288" xr:uid="{00000000-0005-0000-0000-00000B150000}"/>
    <cellStyle name="SAPBEXaggItem 2 4 2" xfId="5289" xr:uid="{00000000-0005-0000-0000-00000C150000}"/>
    <cellStyle name="SAPBEXaggItem 2 4 2 2" xfId="5290" xr:uid="{00000000-0005-0000-0000-00000D150000}"/>
    <cellStyle name="SAPBEXaggItem 2 4 2 3" xfId="5291" xr:uid="{00000000-0005-0000-0000-00000E150000}"/>
    <cellStyle name="SAPBEXaggItem 2 4 2 4" xfId="5292" xr:uid="{00000000-0005-0000-0000-00000F150000}"/>
    <cellStyle name="SAPBEXaggItem 2 4 2 5" xfId="5293" xr:uid="{00000000-0005-0000-0000-000010150000}"/>
    <cellStyle name="SAPBEXaggItem 2 4 2 6" xfId="5294" xr:uid="{00000000-0005-0000-0000-000011150000}"/>
    <cellStyle name="SAPBEXaggItem 2 4 3" xfId="5295" xr:uid="{00000000-0005-0000-0000-000012150000}"/>
    <cellStyle name="SAPBEXaggItem 2 4 3 2" xfId="5296" xr:uid="{00000000-0005-0000-0000-000013150000}"/>
    <cellStyle name="SAPBEXaggItem 2 4 3 3" xfId="5297" xr:uid="{00000000-0005-0000-0000-000014150000}"/>
    <cellStyle name="SAPBEXaggItem 2 4 3 4" xfId="5298" xr:uid="{00000000-0005-0000-0000-000015150000}"/>
    <cellStyle name="SAPBEXaggItem 2 4 3 5" xfId="5299" xr:uid="{00000000-0005-0000-0000-000016150000}"/>
    <cellStyle name="SAPBEXaggItem 2 4 3 6" xfId="5300" xr:uid="{00000000-0005-0000-0000-000017150000}"/>
    <cellStyle name="SAPBEXaggItem 2 4 4" xfId="5301" xr:uid="{00000000-0005-0000-0000-000018150000}"/>
    <cellStyle name="SAPBEXaggItem 2 4 4 2" xfId="5302" xr:uid="{00000000-0005-0000-0000-000019150000}"/>
    <cellStyle name="SAPBEXaggItem 2 4 4 3" xfId="5303" xr:uid="{00000000-0005-0000-0000-00001A150000}"/>
    <cellStyle name="SAPBEXaggItem 2 4 4 4" xfId="5304" xr:uid="{00000000-0005-0000-0000-00001B150000}"/>
    <cellStyle name="SAPBEXaggItem 2 4 4 5" xfId="5305" xr:uid="{00000000-0005-0000-0000-00001C150000}"/>
    <cellStyle name="SAPBEXaggItem 2 4 4 6" xfId="5306" xr:uid="{00000000-0005-0000-0000-00001D150000}"/>
    <cellStyle name="SAPBEXaggItem 2 4 5" xfId="5307" xr:uid="{00000000-0005-0000-0000-00001E150000}"/>
    <cellStyle name="SAPBEXaggItem 2 4 5 2" xfId="5308" xr:uid="{00000000-0005-0000-0000-00001F150000}"/>
    <cellStyle name="SAPBEXaggItem 2 4 5 3" xfId="5309" xr:uid="{00000000-0005-0000-0000-000020150000}"/>
    <cellStyle name="SAPBEXaggItem 2 4 5 4" xfId="5310" xr:uid="{00000000-0005-0000-0000-000021150000}"/>
    <cellStyle name="SAPBEXaggItem 2 4 5 5" xfId="5311" xr:uid="{00000000-0005-0000-0000-000022150000}"/>
    <cellStyle name="SAPBEXaggItem 2 4 5 6" xfId="5312" xr:uid="{00000000-0005-0000-0000-000023150000}"/>
    <cellStyle name="SAPBEXaggItem 2 4 6" xfId="5313" xr:uid="{00000000-0005-0000-0000-000024150000}"/>
    <cellStyle name="SAPBEXaggItem 2 4 7" xfId="5314" xr:uid="{00000000-0005-0000-0000-000025150000}"/>
    <cellStyle name="SAPBEXaggItem 2 4 8" xfId="5315" xr:uid="{00000000-0005-0000-0000-000026150000}"/>
    <cellStyle name="SAPBEXaggItem 2 5" xfId="5316" xr:uid="{00000000-0005-0000-0000-000027150000}"/>
    <cellStyle name="SAPBEXaggItem 2 5 2" xfId="5317" xr:uid="{00000000-0005-0000-0000-000028150000}"/>
    <cellStyle name="SAPBEXaggItem 2 5 3" xfId="5318" xr:uid="{00000000-0005-0000-0000-000029150000}"/>
    <cellStyle name="SAPBEXaggItem 2 5 4" xfId="5319" xr:uid="{00000000-0005-0000-0000-00002A150000}"/>
    <cellStyle name="SAPBEXaggItem 2 6" xfId="5320" xr:uid="{00000000-0005-0000-0000-00002B150000}"/>
    <cellStyle name="SAPBEXaggItem 2 6 2" xfId="5321" xr:uid="{00000000-0005-0000-0000-00002C150000}"/>
    <cellStyle name="SAPBEXaggItem 2 6 3" xfId="5322" xr:uid="{00000000-0005-0000-0000-00002D150000}"/>
    <cellStyle name="SAPBEXaggItem 2 6 4" xfId="5323" xr:uid="{00000000-0005-0000-0000-00002E150000}"/>
    <cellStyle name="SAPBEXaggItem 2 7" xfId="5324" xr:uid="{00000000-0005-0000-0000-00002F150000}"/>
    <cellStyle name="SAPBEXaggItem 2 7 2" xfId="5325" xr:uid="{00000000-0005-0000-0000-000030150000}"/>
    <cellStyle name="SAPBEXaggItem 2 7 3" xfId="5326" xr:uid="{00000000-0005-0000-0000-000031150000}"/>
    <cellStyle name="SAPBEXaggItem 2 7 4" xfId="5327" xr:uid="{00000000-0005-0000-0000-000032150000}"/>
    <cellStyle name="SAPBEXaggItem 2 8" xfId="5328" xr:uid="{00000000-0005-0000-0000-000033150000}"/>
    <cellStyle name="SAPBEXaggItem 2 8 2" xfId="5329" xr:uid="{00000000-0005-0000-0000-000034150000}"/>
    <cellStyle name="SAPBEXaggItem 2 8 3" xfId="5330" xr:uid="{00000000-0005-0000-0000-000035150000}"/>
    <cellStyle name="SAPBEXaggItem 2 8 4" xfId="5331" xr:uid="{00000000-0005-0000-0000-000036150000}"/>
    <cellStyle name="SAPBEXaggItem 2 9" xfId="5332" xr:uid="{00000000-0005-0000-0000-000037150000}"/>
    <cellStyle name="SAPBEXaggItem 2 9 2" xfId="5333" xr:uid="{00000000-0005-0000-0000-000038150000}"/>
    <cellStyle name="SAPBEXaggItem 2 9 3" xfId="5334" xr:uid="{00000000-0005-0000-0000-000039150000}"/>
    <cellStyle name="SAPBEXaggItem 2 9 4" xfId="5335" xr:uid="{00000000-0005-0000-0000-00003A150000}"/>
    <cellStyle name="SAPBEXaggItem 20" xfId="5336" xr:uid="{00000000-0005-0000-0000-00003B150000}"/>
    <cellStyle name="SAPBEXaggItem 20 2" xfId="5337" xr:uid="{00000000-0005-0000-0000-00003C150000}"/>
    <cellStyle name="SAPBEXaggItem 20 3" xfId="5338" xr:uid="{00000000-0005-0000-0000-00003D150000}"/>
    <cellStyle name="SAPBEXaggItem 20 4" xfId="5339" xr:uid="{00000000-0005-0000-0000-00003E150000}"/>
    <cellStyle name="SAPBEXaggItem 20 5" xfId="5340" xr:uid="{00000000-0005-0000-0000-00003F150000}"/>
    <cellStyle name="SAPBEXaggItem 20 6" xfId="5341" xr:uid="{00000000-0005-0000-0000-000040150000}"/>
    <cellStyle name="SAPBEXaggItem 21" xfId="5342" xr:uid="{00000000-0005-0000-0000-000041150000}"/>
    <cellStyle name="SAPBEXaggItem 21 2" xfId="5343" xr:uid="{00000000-0005-0000-0000-000042150000}"/>
    <cellStyle name="SAPBEXaggItem 21 3" xfId="5344" xr:uid="{00000000-0005-0000-0000-000043150000}"/>
    <cellStyle name="SAPBEXaggItem 21 4" xfId="5345" xr:uid="{00000000-0005-0000-0000-000044150000}"/>
    <cellStyle name="SAPBEXaggItem 21 5" xfId="5346" xr:uid="{00000000-0005-0000-0000-000045150000}"/>
    <cellStyle name="SAPBEXaggItem 21 6" xfId="5347" xr:uid="{00000000-0005-0000-0000-000046150000}"/>
    <cellStyle name="SAPBEXaggItem 22" xfId="5348" xr:uid="{00000000-0005-0000-0000-000047150000}"/>
    <cellStyle name="SAPBEXaggItem 22 2" xfId="5349" xr:uid="{00000000-0005-0000-0000-000048150000}"/>
    <cellStyle name="SAPBEXaggItem 22 3" xfId="5350" xr:uid="{00000000-0005-0000-0000-000049150000}"/>
    <cellStyle name="SAPBEXaggItem 22 4" xfId="5351" xr:uid="{00000000-0005-0000-0000-00004A150000}"/>
    <cellStyle name="SAPBEXaggItem 22 5" xfId="5352" xr:uid="{00000000-0005-0000-0000-00004B150000}"/>
    <cellStyle name="SAPBEXaggItem 22 6" xfId="5353" xr:uid="{00000000-0005-0000-0000-00004C150000}"/>
    <cellStyle name="SAPBEXaggItem 23" xfId="5354" xr:uid="{00000000-0005-0000-0000-00004D150000}"/>
    <cellStyle name="SAPBEXaggItem 23 2" xfId="5355" xr:uid="{00000000-0005-0000-0000-00004E150000}"/>
    <cellStyle name="SAPBEXaggItem 23 3" xfId="5356" xr:uid="{00000000-0005-0000-0000-00004F150000}"/>
    <cellStyle name="SAPBEXaggItem 23 4" xfId="5357" xr:uid="{00000000-0005-0000-0000-000050150000}"/>
    <cellStyle name="SAPBEXaggItem 23 5" xfId="5358" xr:uid="{00000000-0005-0000-0000-000051150000}"/>
    <cellStyle name="SAPBEXaggItem 23 6" xfId="5359" xr:uid="{00000000-0005-0000-0000-000052150000}"/>
    <cellStyle name="SAPBEXaggItem 24" xfId="5360" xr:uid="{00000000-0005-0000-0000-000053150000}"/>
    <cellStyle name="SAPBEXaggItem 24 2" xfId="5361" xr:uid="{00000000-0005-0000-0000-000054150000}"/>
    <cellStyle name="SAPBEXaggItem 24 3" xfId="5362" xr:uid="{00000000-0005-0000-0000-000055150000}"/>
    <cellStyle name="SAPBEXaggItem 24 4" xfId="5363" xr:uid="{00000000-0005-0000-0000-000056150000}"/>
    <cellStyle name="SAPBEXaggItem 24 5" xfId="5364" xr:uid="{00000000-0005-0000-0000-000057150000}"/>
    <cellStyle name="SAPBEXaggItem 24 6" xfId="5365" xr:uid="{00000000-0005-0000-0000-000058150000}"/>
    <cellStyle name="SAPBEXaggItem 25" xfId="5366" xr:uid="{00000000-0005-0000-0000-000059150000}"/>
    <cellStyle name="SAPBEXaggItem 25 2" xfId="5367" xr:uid="{00000000-0005-0000-0000-00005A150000}"/>
    <cellStyle name="SAPBEXaggItem 25 3" xfId="5368" xr:uid="{00000000-0005-0000-0000-00005B150000}"/>
    <cellStyle name="SAPBEXaggItem 25 4" xfId="5369" xr:uid="{00000000-0005-0000-0000-00005C150000}"/>
    <cellStyle name="SAPBEXaggItem 25 5" xfId="5370" xr:uid="{00000000-0005-0000-0000-00005D150000}"/>
    <cellStyle name="SAPBEXaggItem 25 6" xfId="5371" xr:uid="{00000000-0005-0000-0000-00005E150000}"/>
    <cellStyle name="SAPBEXaggItem 26" xfId="5372" xr:uid="{00000000-0005-0000-0000-00005F150000}"/>
    <cellStyle name="SAPBEXaggItem 26 2" xfId="5373" xr:uid="{00000000-0005-0000-0000-000060150000}"/>
    <cellStyle name="SAPBEXaggItem 26 3" xfId="5374" xr:uid="{00000000-0005-0000-0000-000061150000}"/>
    <cellStyle name="SAPBEXaggItem 26 4" xfId="5375" xr:uid="{00000000-0005-0000-0000-000062150000}"/>
    <cellStyle name="SAPBEXaggItem 26 5" xfId="5376" xr:uid="{00000000-0005-0000-0000-000063150000}"/>
    <cellStyle name="SAPBEXaggItem 26 6" xfId="5377" xr:uid="{00000000-0005-0000-0000-000064150000}"/>
    <cellStyle name="SAPBEXaggItem 27" xfId="5378" xr:uid="{00000000-0005-0000-0000-000065150000}"/>
    <cellStyle name="SAPBEXaggItem 27 2" xfId="5379" xr:uid="{00000000-0005-0000-0000-000066150000}"/>
    <cellStyle name="SAPBEXaggItem 27 3" xfId="5380" xr:uid="{00000000-0005-0000-0000-000067150000}"/>
    <cellStyle name="SAPBEXaggItem 27 4" xfId="5381" xr:uid="{00000000-0005-0000-0000-000068150000}"/>
    <cellStyle name="SAPBEXaggItem 27 5" xfId="5382" xr:uid="{00000000-0005-0000-0000-000069150000}"/>
    <cellStyle name="SAPBEXaggItem 27 6" xfId="5383" xr:uid="{00000000-0005-0000-0000-00006A150000}"/>
    <cellStyle name="SAPBEXaggItem 28" xfId="5384" xr:uid="{00000000-0005-0000-0000-00006B150000}"/>
    <cellStyle name="SAPBEXaggItem 28 2" xfId="5385" xr:uid="{00000000-0005-0000-0000-00006C150000}"/>
    <cellStyle name="SAPBEXaggItem 28 3" xfId="5386" xr:uid="{00000000-0005-0000-0000-00006D150000}"/>
    <cellStyle name="SAPBEXaggItem 28 4" xfId="5387" xr:uid="{00000000-0005-0000-0000-00006E150000}"/>
    <cellStyle name="SAPBEXaggItem 28 5" xfId="5388" xr:uid="{00000000-0005-0000-0000-00006F150000}"/>
    <cellStyle name="SAPBEXaggItem 28 6" xfId="5389" xr:uid="{00000000-0005-0000-0000-000070150000}"/>
    <cellStyle name="SAPBEXaggItem 29" xfId="5390" xr:uid="{00000000-0005-0000-0000-000071150000}"/>
    <cellStyle name="SAPBEXaggItem 29 2" xfId="5391" xr:uid="{00000000-0005-0000-0000-000072150000}"/>
    <cellStyle name="SAPBEXaggItem 29 3" xfId="5392" xr:uid="{00000000-0005-0000-0000-000073150000}"/>
    <cellStyle name="SAPBEXaggItem 29 4" xfId="5393" xr:uid="{00000000-0005-0000-0000-000074150000}"/>
    <cellStyle name="SAPBEXaggItem 29 5" xfId="5394" xr:uid="{00000000-0005-0000-0000-000075150000}"/>
    <cellStyle name="SAPBEXaggItem 29 6" xfId="5395" xr:uid="{00000000-0005-0000-0000-000076150000}"/>
    <cellStyle name="SAPBEXaggItem 3" xfId="5396" xr:uid="{00000000-0005-0000-0000-000077150000}"/>
    <cellStyle name="SAPBEXaggItem 3 10" xfId="5397" xr:uid="{00000000-0005-0000-0000-000078150000}"/>
    <cellStyle name="SAPBEXaggItem 3 11" xfId="5398" xr:uid="{00000000-0005-0000-0000-000079150000}"/>
    <cellStyle name="SAPBEXaggItem 3 12" xfId="5399" xr:uid="{00000000-0005-0000-0000-00007A150000}"/>
    <cellStyle name="SAPBEXaggItem 3 2" xfId="5400" xr:uid="{00000000-0005-0000-0000-00007B150000}"/>
    <cellStyle name="SAPBEXaggItem 3 2 2" xfId="5401" xr:uid="{00000000-0005-0000-0000-00007C150000}"/>
    <cellStyle name="SAPBEXaggItem 3 2 2 2" xfId="5402" xr:uid="{00000000-0005-0000-0000-00007D150000}"/>
    <cellStyle name="SAPBEXaggItem 3 2 2 3" xfId="5403" xr:uid="{00000000-0005-0000-0000-00007E150000}"/>
    <cellStyle name="SAPBEXaggItem 3 2 2 4" xfId="5404" xr:uid="{00000000-0005-0000-0000-00007F150000}"/>
    <cellStyle name="SAPBEXaggItem 3 2 2 5" xfId="5405" xr:uid="{00000000-0005-0000-0000-000080150000}"/>
    <cellStyle name="SAPBEXaggItem 3 2 2 6" xfId="5406" xr:uid="{00000000-0005-0000-0000-000081150000}"/>
    <cellStyle name="SAPBEXaggItem 3 2 3" xfId="5407" xr:uid="{00000000-0005-0000-0000-000082150000}"/>
    <cellStyle name="SAPBEXaggItem 3 2 3 2" xfId="5408" xr:uid="{00000000-0005-0000-0000-000083150000}"/>
    <cellStyle name="SAPBEXaggItem 3 2 3 3" xfId="5409" xr:uid="{00000000-0005-0000-0000-000084150000}"/>
    <cellStyle name="SAPBEXaggItem 3 2 3 4" xfId="5410" xr:uid="{00000000-0005-0000-0000-000085150000}"/>
    <cellStyle name="SAPBEXaggItem 3 2 3 5" xfId="5411" xr:uid="{00000000-0005-0000-0000-000086150000}"/>
    <cellStyle name="SAPBEXaggItem 3 2 3 6" xfId="5412" xr:uid="{00000000-0005-0000-0000-000087150000}"/>
    <cellStyle name="SAPBEXaggItem 3 2 4" xfId="5413" xr:uid="{00000000-0005-0000-0000-000088150000}"/>
    <cellStyle name="SAPBEXaggItem 3 2 4 2" xfId="5414" xr:uid="{00000000-0005-0000-0000-000089150000}"/>
    <cellStyle name="SAPBEXaggItem 3 2 4 3" xfId="5415" xr:uid="{00000000-0005-0000-0000-00008A150000}"/>
    <cellStyle name="SAPBEXaggItem 3 2 4 4" xfId="5416" xr:uid="{00000000-0005-0000-0000-00008B150000}"/>
    <cellStyle name="SAPBEXaggItem 3 2 4 5" xfId="5417" xr:uid="{00000000-0005-0000-0000-00008C150000}"/>
    <cellStyle name="SAPBEXaggItem 3 2 4 6" xfId="5418" xr:uid="{00000000-0005-0000-0000-00008D150000}"/>
    <cellStyle name="SAPBEXaggItem 3 2 5" xfId="5419" xr:uid="{00000000-0005-0000-0000-00008E150000}"/>
    <cellStyle name="SAPBEXaggItem 3 2 5 2" xfId="5420" xr:uid="{00000000-0005-0000-0000-00008F150000}"/>
    <cellStyle name="SAPBEXaggItem 3 2 5 3" xfId="5421" xr:uid="{00000000-0005-0000-0000-000090150000}"/>
    <cellStyle name="SAPBEXaggItem 3 2 5 4" xfId="5422" xr:uid="{00000000-0005-0000-0000-000091150000}"/>
    <cellStyle name="SAPBEXaggItem 3 2 5 5" xfId="5423" xr:uid="{00000000-0005-0000-0000-000092150000}"/>
    <cellStyle name="SAPBEXaggItem 3 2 5 6" xfId="5424" xr:uid="{00000000-0005-0000-0000-000093150000}"/>
    <cellStyle name="SAPBEXaggItem 3 2 6" xfId="5425" xr:uid="{00000000-0005-0000-0000-000094150000}"/>
    <cellStyle name="SAPBEXaggItem 3 2 7" xfId="5426" xr:uid="{00000000-0005-0000-0000-000095150000}"/>
    <cellStyle name="SAPBEXaggItem 3 2 8" xfId="5427" xr:uid="{00000000-0005-0000-0000-000096150000}"/>
    <cellStyle name="SAPBEXaggItem 3 3" xfId="5428" xr:uid="{00000000-0005-0000-0000-000097150000}"/>
    <cellStyle name="SAPBEXaggItem 3 3 2" xfId="5429" xr:uid="{00000000-0005-0000-0000-000098150000}"/>
    <cellStyle name="SAPBEXaggItem 3 3 3" xfId="5430" xr:uid="{00000000-0005-0000-0000-000099150000}"/>
    <cellStyle name="SAPBEXaggItem 3 3 4" xfId="5431" xr:uid="{00000000-0005-0000-0000-00009A150000}"/>
    <cellStyle name="SAPBEXaggItem 3 3 5" xfId="5432" xr:uid="{00000000-0005-0000-0000-00009B150000}"/>
    <cellStyle name="SAPBEXaggItem 3 3 6" xfId="5433" xr:uid="{00000000-0005-0000-0000-00009C150000}"/>
    <cellStyle name="SAPBEXaggItem 3 4" xfId="5434" xr:uid="{00000000-0005-0000-0000-00009D150000}"/>
    <cellStyle name="SAPBEXaggItem 3 4 2" xfId="5435" xr:uid="{00000000-0005-0000-0000-00009E150000}"/>
    <cellStyle name="SAPBEXaggItem 3 4 3" xfId="5436" xr:uid="{00000000-0005-0000-0000-00009F150000}"/>
    <cellStyle name="SAPBEXaggItem 3 4 4" xfId="5437" xr:uid="{00000000-0005-0000-0000-0000A0150000}"/>
    <cellStyle name="SAPBEXaggItem 3 4 5" xfId="5438" xr:uid="{00000000-0005-0000-0000-0000A1150000}"/>
    <cellStyle name="SAPBEXaggItem 3 4 6" xfId="5439" xr:uid="{00000000-0005-0000-0000-0000A2150000}"/>
    <cellStyle name="SAPBEXaggItem 3 5" xfId="5440" xr:uid="{00000000-0005-0000-0000-0000A3150000}"/>
    <cellStyle name="SAPBEXaggItem 3 5 2" xfId="5441" xr:uid="{00000000-0005-0000-0000-0000A4150000}"/>
    <cellStyle name="SAPBEXaggItem 3 5 3" xfId="5442" xr:uid="{00000000-0005-0000-0000-0000A5150000}"/>
    <cellStyle name="SAPBEXaggItem 3 5 4" xfId="5443" xr:uid="{00000000-0005-0000-0000-0000A6150000}"/>
    <cellStyle name="SAPBEXaggItem 3 6" xfId="5444" xr:uid="{00000000-0005-0000-0000-0000A7150000}"/>
    <cellStyle name="SAPBEXaggItem 3 6 2" xfId="5445" xr:uid="{00000000-0005-0000-0000-0000A8150000}"/>
    <cellStyle name="SAPBEXaggItem 3 6 3" xfId="5446" xr:uid="{00000000-0005-0000-0000-0000A9150000}"/>
    <cellStyle name="SAPBEXaggItem 3 6 4" xfId="5447" xr:uid="{00000000-0005-0000-0000-0000AA150000}"/>
    <cellStyle name="SAPBEXaggItem 3 7" xfId="5448" xr:uid="{00000000-0005-0000-0000-0000AB150000}"/>
    <cellStyle name="SAPBEXaggItem 3 7 2" xfId="5449" xr:uid="{00000000-0005-0000-0000-0000AC150000}"/>
    <cellStyle name="SAPBEXaggItem 3 7 3" xfId="5450" xr:uid="{00000000-0005-0000-0000-0000AD150000}"/>
    <cellStyle name="SAPBEXaggItem 3 7 4" xfId="5451" xr:uid="{00000000-0005-0000-0000-0000AE150000}"/>
    <cellStyle name="SAPBEXaggItem 3 8" xfId="5452" xr:uid="{00000000-0005-0000-0000-0000AF150000}"/>
    <cellStyle name="SAPBEXaggItem 3 9" xfId="5453" xr:uid="{00000000-0005-0000-0000-0000B0150000}"/>
    <cellStyle name="SAPBEXaggItem 30" xfId="5454" xr:uid="{00000000-0005-0000-0000-0000B1150000}"/>
    <cellStyle name="SAPBEXaggItem 30 2" xfId="5455" xr:uid="{00000000-0005-0000-0000-0000B2150000}"/>
    <cellStyle name="SAPBEXaggItem 30 3" xfId="5456" xr:uid="{00000000-0005-0000-0000-0000B3150000}"/>
    <cellStyle name="SAPBEXaggItem 30 4" xfId="5457" xr:uid="{00000000-0005-0000-0000-0000B4150000}"/>
    <cellStyle name="SAPBEXaggItem 30 5" xfId="5458" xr:uid="{00000000-0005-0000-0000-0000B5150000}"/>
    <cellStyle name="SAPBEXaggItem 30 6" xfId="5459" xr:uid="{00000000-0005-0000-0000-0000B6150000}"/>
    <cellStyle name="SAPBEXaggItem 31" xfId="5460" xr:uid="{00000000-0005-0000-0000-0000B7150000}"/>
    <cellStyle name="SAPBEXaggItem 31 2" xfId="5461" xr:uid="{00000000-0005-0000-0000-0000B8150000}"/>
    <cellStyle name="SAPBEXaggItem 31 3" xfId="5462" xr:uid="{00000000-0005-0000-0000-0000B9150000}"/>
    <cellStyle name="SAPBEXaggItem 31 4" xfId="5463" xr:uid="{00000000-0005-0000-0000-0000BA150000}"/>
    <cellStyle name="SAPBEXaggItem 31 5" xfId="5464" xr:uid="{00000000-0005-0000-0000-0000BB150000}"/>
    <cellStyle name="SAPBEXaggItem 31 6" xfId="5465" xr:uid="{00000000-0005-0000-0000-0000BC150000}"/>
    <cellStyle name="SAPBEXaggItem 32" xfId="5466" xr:uid="{00000000-0005-0000-0000-0000BD150000}"/>
    <cellStyle name="SAPBEXaggItem 32 2" xfId="5467" xr:uid="{00000000-0005-0000-0000-0000BE150000}"/>
    <cellStyle name="SAPBEXaggItem 32 3" xfId="5468" xr:uid="{00000000-0005-0000-0000-0000BF150000}"/>
    <cellStyle name="SAPBEXaggItem 32 4" xfId="5469" xr:uid="{00000000-0005-0000-0000-0000C0150000}"/>
    <cellStyle name="SAPBEXaggItem 32 5" xfId="5470" xr:uid="{00000000-0005-0000-0000-0000C1150000}"/>
    <cellStyle name="SAPBEXaggItem 32 6" xfId="5471" xr:uid="{00000000-0005-0000-0000-0000C2150000}"/>
    <cellStyle name="SAPBEXaggItem 33" xfId="5472" xr:uid="{00000000-0005-0000-0000-0000C3150000}"/>
    <cellStyle name="SAPBEXaggItem 34" xfId="5473" xr:uid="{00000000-0005-0000-0000-0000C4150000}"/>
    <cellStyle name="SAPBEXaggItem 35" xfId="5474" xr:uid="{00000000-0005-0000-0000-0000C5150000}"/>
    <cellStyle name="SAPBEXaggItem 36" xfId="27793" xr:uid="{00000000-0005-0000-0000-0000C6150000}"/>
    <cellStyle name="SAPBEXaggItem 37" xfId="27904" xr:uid="{00000000-0005-0000-0000-0000C7150000}"/>
    <cellStyle name="SAPBEXaggItem 37 2" xfId="28047" xr:uid="{00000000-0005-0000-0000-0000C8150000}"/>
    <cellStyle name="SAPBEXaggItem 38" xfId="27971" xr:uid="{00000000-0005-0000-0000-0000C9150000}"/>
    <cellStyle name="SAPBEXaggItem 39" xfId="28004" xr:uid="{00000000-0005-0000-0000-0000CA150000}"/>
    <cellStyle name="SAPBEXaggItem 4" xfId="5475" xr:uid="{00000000-0005-0000-0000-0000CB150000}"/>
    <cellStyle name="SAPBEXaggItem 4 2" xfId="5476" xr:uid="{00000000-0005-0000-0000-0000CC150000}"/>
    <cellStyle name="SAPBEXaggItem 4 3" xfId="5477" xr:uid="{00000000-0005-0000-0000-0000CD150000}"/>
    <cellStyle name="SAPBEXaggItem 4 4" xfId="5478" xr:uid="{00000000-0005-0000-0000-0000CE150000}"/>
    <cellStyle name="SAPBEXaggItem 4 5" xfId="5479" xr:uid="{00000000-0005-0000-0000-0000CF150000}"/>
    <cellStyle name="SAPBEXaggItem 4 6" xfId="5480" xr:uid="{00000000-0005-0000-0000-0000D0150000}"/>
    <cellStyle name="SAPBEXaggItem 40" xfId="28143" xr:uid="{00000000-0005-0000-0000-0000D1150000}"/>
    <cellStyle name="SAPBEXaggItem 5" xfId="5481" xr:uid="{00000000-0005-0000-0000-0000D2150000}"/>
    <cellStyle name="SAPBEXaggItem 5 2" xfId="5482" xr:uid="{00000000-0005-0000-0000-0000D3150000}"/>
    <cellStyle name="SAPBEXaggItem 5 3" xfId="5483" xr:uid="{00000000-0005-0000-0000-0000D4150000}"/>
    <cellStyle name="SAPBEXaggItem 5 4" xfId="5484" xr:uid="{00000000-0005-0000-0000-0000D5150000}"/>
    <cellStyle name="SAPBEXaggItem 5 5" xfId="5485" xr:uid="{00000000-0005-0000-0000-0000D6150000}"/>
    <cellStyle name="SAPBEXaggItem 5 6" xfId="5486" xr:uid="{00000000-0005-0000-0000-0000D7150000}"/>
    <cellStyle name="SAPBEXaggItem 6" xfId="5487" xr:uid="{00000000-0005-0000-0000-0000D8150000}"/>
    <cellStyle name="SAPBEXaggItem 6 10" xfId="5488" xr:uid="{00000000-0005-0000-0000-0000D9150000}"/>
    <cellStyle name="SAPBEXaggItem 6 2" xfId="5489" xr:uid="{00000000-0005-0000-0000-0000DA150000}"/>
    <cellStyle name="SAPBEXaggItem 6 2 2" xfId="5490" xr:uid="{00000000-0005-0000-0000-0000DB150000}"/>
    <cellStyle name="SAPBEXaggItem 6 2 3" xfId="5491" xr:uid="{00000000-0005-0000-0000-0000DC150000}"/>
    <cellStyle name="SAPBEXaggItem 6 2 4" xfId="5492" xr:uid="{00000000-0005-0000-0000-0000DD150000}"/>
    <cellStyle name="SAPBEXaggItem 6 3" xfId="5493" xr:uid="{00000000-0005-0000-0000-0000DE150000}"/>
    <cellStyle name="SAPBEXaggItem 6 3 2" xfId="5494" xr:uid="{00000000-0005-0000-0000-0000DF150000}"/>
    <cellStyle name="SAPBEXaggItem 6 3 3" xfId="5495" xr:uid="{00000000-0005-0000-0000-0000E0150000}"/>
    <cellStyle name="SAPBEXaggItem 6 3 4" xfId="5496" xr:uid="{00000000-0005-0000-0000-0000E1150000}"/>
    <cellStyle name="SAPBEXaggItem 6 4" xfId="5497" xr:uid="{00000000-0005-0000-0000-0000E2150000}"/>
    <cellStyle name="SAPBEXaggItem 6 4 2" xfId="5498" xr:uid="{00000000-0005-0000-0000-0000E3150000}"/>
    <cellStyle name="SAPBEXaggItem 6 4 3" xfId="5499" xr:uid="{00000000-0005-0000-0000-0000E4150000}"/>
    <cellStyle name="SAPBEXaggItem 6 4 4" xfId="5500" xr:uid="{00000000-0005-0000-0000-0000E5150000}"/>
    <cellStyle name="SAPBEXaggItem 6 5" xfId="5501" xr:uid="{00000000-0005-0000-0000-0000E6150000}"/>
    <cellStyle name="SAPBEXaggItem 6 5 2" xfId="5502" xr:uid="{00000000-0005-0000-0000-0000E7150000}"/>
    <cellStyle name="SAPBEXaggItem 6 5 3" xfId="5503" xr:uid="{00000000-0005-0000-0000-0000E8150000}"/>
    <cellStyle name="SAPBEXaggItem 6 5 4" xfId="5504" xr:uid="{00000000-0005-0000-0000-0000E9150000}"/>
    <cellStyle name="SAPBEXaggItem 6 6" xfId="5505" xr:uid="{00000000-0005-0000-0000-0000EA150000}"/>
    <cellStyle name="SAPBEXaggItem 6 7" xfId="5506" xr:uid="{00000000-0005-0000-0000-0000EB150000}"/>
    <cellStyle name="SAPBEXaggItem 6 8" xfId="5507" xr:uid="{00000000-0005-0000-0000-0000EC150000}"/>
    <cellStyle name="SAPBEXaggItem 6 9" xfId="5508" xr:uid="{00000000-0005-0000-0000-0000ED150000}"/>
    <cellStyle name="SAPBEXaggItem 7" xfId="5509" xr:uid="{00000000-0005-0000-0000-0000EE150000}"/>
    <cellStyle name="SAPBEXaggItem 7 10" xfId="5510" xr:uid="{00000000-0005-0000-0000-0000EF150000}"/>
    <cellStyle name="SAPBEXaggItem 7 2" xfId="5511" xr:uid="{00000000-0005-0000-0000-0000F0150000}"/>
    <cellStyle name="SAPBEXaggItem 7 2 2" xfId="5512" xr:uid="{00000000-0005-0000-0000-0000F1150000}"/>
    <cellStyle name="SAPBEXaggItem 7 2 3" xfId="5513" xr:uid="{00000000-0005-0000-0000-0000F2150000}"/>
    <cellStyle name="SAPBEXaggItem 7 2 4" xfId="5514" xr:uid="{00000000-0005-0000-0000-0000F3150000}"/>
    <cellStyle name="SAPBEXaggItem 7 3" xfId="5515" xr:uid="{00000000-0005-0000-0000-0000F4150000}"/>
    <cellStyle name="SAPBEXaggItem 7 3 2" xfId="5516" xr:uid="{00000000-0005-0000-0000-0000F5150000}"/>
    <cellStyle name="SAPBEXaggItem 7 3 3" xfId="5517" xr:uid="{00000000-0005-0000-0000-0000F6150000}"/>
    <cellStyle name="SAPBEXaggItem 7 3 4" xfId="5518" xr:uid="{00000000-0005-0000-0000-0000F7150000}"/>
    <cellStyle name="SAPBEXaggItem 7 4" xfId="5519" xr:uid="{00000000-0005-0000-0000-0000F8150000}"/>
    <cellStyle name="SAPBEXaggItem 7 4 2" xfId="5520" xr:uid="{00000000-0005-0000-0000-0000F9150000}"/>
    <cellStyle name="SAPBEXaggItem 7 4 3" xfId="5521" xr:uid="{00000000-0005-0000-0000-0000FA150000}"/>
    <cellStyle name="SAPBEXaggItem 7 4 4" xfId="5522" xr:uid="{00000000-0005-0000-0000-0000FB150000}"/>
    <cellStyle name="SAPBEXaggItem 7 5" xfId="5523" xr:uid="{00000000-0005-0000-0000-0000FC150000}"/>
    <cellStyle name="SAPBEXaggItem 7 5 2" xfId="5524" xr:uid="{00000000-0005-0000-0000-0000FD150000}"/>
    <cellStyle name="SAPBEXaggItem 7 5 3" xfId="5525" xr:uid="{00000000-0005-0000-0000-0000FE150000}"/>
    <cellStyle name="SAPBEXaggItem 7 5 4" xfId="5526" xr:uid="{00000000-0005-0000-0000-0000FF150000}"/>
    <cellStyle name="SAPBEXaggItem 7 6" xfId="5527" xr:uid="{00000000-0005-0000-0000-000000160000}"/>
    <cellStyle name="SAPBEXaggItem 7 7" xfId="5528" xr:uid="{00000000-0005-0000-0000-000001160000}"/>
    <cellStyle name="SAPBEXaggItem 7 8" xfId="5529" xr:uid="{00000000-0005-0000-0000-000002160000}"/>
    <cellStyle name="SAPBEXaggItem 7 9" xfId="5530" xr:uid="{00000000-0005-0000-0000-000003160000}"/>
    <cellStyle name="SAPBEXaggItem 8" xfId="5531" xr:uid="{00000000-0005-0000-0000-000004160000}"/>
    <cellStyle name="SAPBEXaggItem 8 2" xfId="5532" xr:uid="{00000000-0005-0000-0000-000005160000}"/>
    <cellStyle name="SAPBEXaggItem 8 3" xfId="5533" xr:uid="{00000000-0005-0000-0000-000006160000}"/>
    <cellStyle name="SAPBEXaggItem 8 4" xfId="5534" xr:uid="{00000000-0005-0000-0000-000007160000}"/>
    <cellStyle name="SAPBEXaggItem 8 5" xfId="5535" xr:uid="{00000000-0005-0000-0000-000008160000}"/>
    <cellStyle name="SAPBEXaggItem 8 6" xfId="5536" xr:uid="{00000000-0005-0000-0000-000009160000}"/>
    <cellStyle name="SAPBEXaggItem 9" xfId="5537" xr:uid="{00000000-0005-0000-0000-00000A160000}"/>
    <cellStyle name="SAPBEXaggItem 9 2" xfId="5538" xr:uid="{00000000-0005-0000-0000-00000B160000}"/>
    <cellStyle name="SAPBEXaggItem 9 3" xfId="5539" xr:uid="{00000000-0005-0000-0000-00000C160000}"/>
    <cellStyle name="SAPBEXaggItem 9 4" xfId="5540" xr:uid="{00000000-0005-0000-0000-00000D160000}"/>
    <cellStyle name="SAPBEXaggItem 9 5" xfId="5541" xr:uid="{00000000-0005-0000-0000-00000E160000}"/>
    <cellStyle name="SAPBEXaggItem 9 6" xfId="5542" xr:uid="{00000000-0005-0000-0000-00000F160000}"/>
    <cellStyle name="SAPBEXaggItem_Receipts" xfId="5543" xr:uid="{00000000-0005-0000-0000-000010160000}"/>
    <cellStyle name="SAPBEXaggItemX" xfId="5544" xr:uid="{00000000-0005-0000-0000-000011160000}"/>
    <cellStyle name="SAPBEXaggItemX 10" xfId="5545" xr:uid="{00000000-0005-0000-0000-000012160000}"/>
    <cellStyle name="SAPBEXaggItemX 10 2" xfId="5546" xr:uid="{00000000-0005-0000-0000-000013160000}"/>
    <cellStyle name="SAPBEXaggItemX 10 3" xfId="5547" xr:uid="{00000000-0005-0000-0000-000014160000}"/>
    <cellStyle name="SAPBEXaggItemX 10 4" xfId="5548" xr:uid="{00000000-0005-0000-0000-000015160000}"/>
    <cellStyle name="SAPBEXaggItemX 10 5" xfId="5549" xr:uid="{00000000-0005-0000-0000-000016160000}"/>
    <cellStyle name="SAPBEXaggItemX 10 6" xfId="5550" xr:uid="{00000000-0005-0000-0000-000017160000}"/>
    <cellStyle name="SAPBEXaggItemX 11" xfId="5551" xr:uid="{00000000-0005-0000-0000-000018160000}"/>
    <cellStyle name="SAPBEXaggItemX 11 2" xfId="5552" xr:uid="{00000000-0005-0000-0000-000019160000}"/>
    <cellStyle name="SAPBEXaggItemX 11 3" xfId="5553" xr:uid="{00000000-0005-0000-0000-00001A160000}"/>
    <cellStyle name="SAPBEXaggItemX 11 4" xfId="5554" xr:uid="{00000000-0005-0000-0000-00001B160000}"/>
    <cellStyle name="SAPBEXaggItemX 11 5" xfId="5555" xr:uid="{00000000-0005-0000-0000-00001C160000}"/>
    <cellStyle name="SAPBEXaggItemX 11 6" xfId="5556" xr:uid="{00000000-0005-0000-0000-00001D160000}"/>
    <cellStyle name="SAPBEXaggItemX 12" xfId="5557" xr:uid="{00000000-0005-0000-0000-00001E160000}"/>
    <cellStyle name="SAPBEXaggItemX 12 2" xfId="5558" xr:uid="{00000000-0005-0000-0000-00001F160000}"/>
    <cellStyle name="SAPBEXaggItemX 12 3" xfId="5559" xr:uid="{00000000-0005-0000-0000-000020160000}"/>
    <cellStyle name="SAPBEXaggItemX 12 4" xfId="5560" xr:uid="{00000000-0005-0000-0000-000021160000}"/>
    <cellStyle name="SAPBEXaggItemX 12 5" xfId="5561" xr:uid="{00000000-0005-0000-0000-000022160000}"/>
    <cellStyle name="SAPBEXaggItemX 12 6" xfId="5562" xr:uid="{00000000-0005-0000-0000-000023160000}"/>
    <cellStyle name="SAPBEXaggItemX 13" xfId="5563" xr:uid="{00000000-0005-0000-0000-000024160000}"/>
    <cellStyle name="SAPBEXaggItemX 13 2" xfId="5564" xr:uid="{00000000-0005-0000-0000-000025160000}"/>
    <cellStyle name="SAPBEXaggItemX 13 3" xfId="5565" xr:uid="{00000000-0005-0000-0000-000026160000}"/>
    <cellStyle name="SAPBEXaggItemX 13 4" xfId="5566" xr:uid="{00000000-0005-0000-0000-000027160000}"/>
    <cellStyle name="SAPBEXaggItemX 13 5" xfId="5567" xr:uid="{00000000-0005-0000-0000-000028160000}"/>
    <cellStyle name="SAPBEXaggItemX 13 6" xfId="5568" xr:uid="{00000000-0005-0000-0000-000029160000}"/>
    <cellStyle name="SAPBEXaggItemX 14" xfId="5569" xr:uid="{00000000-0005-0000-0000-00002A160000}"/>
    <cellStyle name="SAPBEXaggItemX 14 2" xfId="5570" xr:uid="{00000000-0005-0000-0000-00002B160000}"/>
    <cellStyle name="SAPBEXaggItemX 14 3" xfId="5571" xr:uid="{00000000-0005-0000-0000-00002C160000}"/>
    <cellStyle name="SAPBEXaggItemX 14 4" xfId="5572" xr:uid="{00000000-0005-0000-0000-00002D160000}"/>
    <cellStyle name="SAPBEXaggItemX 14 5" xfId="5573" xr:uid="{00000000-0005-0000-0000-00002E160000}"/>
    <cellStyle name="SAPBEXaggItemX 14 6" xfId="5574" xr:uid="{00000000-0005-0000-0000-00002F160000}"/>
    <cellStyle name="SAPBEXaggItemX 15" xfId="5575" xr:uid="{00000000-0005-0000-0000-000030160000}"/>
    <cellStyle name="SAPBEXaggItemX 15 2" xfId="5576" xr:uid="{00000000-0005-0000-0000-000031160000}"/>
    <cellStyle name="SAPBEXaggItemX 15 3" xfId="5577" xr:uid="{00000000-0005-0000-0000-000032160000}"/>
    <cellStyle name="SAPBEXaggItemX 15 4" xfId="5578" xr:uid="{00000000-0005-0000-0000-000033160000}"/>
    <cellStyle name="SAPBEXaggItemX 15 5" xfId="5579" xr:uid="{00000000-0005-0000-0000-000034160000}"/>
    <cellStyle name="SAPBEXaggItemX 15 6" xfId="5580" xr:uid="{00000000-0005-0000-0000-000035160000}"/>
    <cellStyle name="SAPBEXaggItemX 16" xfId="5581" xr:uid="{00000000-0005-0000-0000-000036160000}"/>
    <cellStyle name="SAPBEXaggItemX 16 2" xfId="5582" xr:uid="{00000000-0005-0000-0000-000037160000}"/>
    <cellStyle name="SAPBEXaggItemX 16 3" xfId="5583" xr:uid="{00000000-0005-0000-0000-000038160000}"/>
    <cellStyle name="SAPBEXaggItemX 16 4" xfId="5584" xr:uid="{00000000-0005-0000-0000-000039160000}"/>
    <cellStyle name="SAPBEXaggItemX 16 5" xfId="5585" xr:uid="{00000000-0005-0000-0000-00003A160000}"/>
    <cellStyle name="SAPBEXaggItemX 16 6" xfId="5586" xr:uid="{00000000-0005-0000-0000-00003B160000}"/>
    <cellStyle name="SAPBEXaggItemX 17" xfId="5587" xr:uid="{00000000-0005-0000-0000-00003C160000}"/>
    <cellStyle name="SAPBEXaggItemX 17 2" xfId="5588" xr:uid="{00000000-0005-0000-0000-00003D160000}"/>
    <cellStyle name="SAPBEXaggItemX 17 3" xfId="5589" xr:uid="{00000000-0005-0000-0000-00003E160000}"/>
    <cellStyle name="SAPBEXaggItemX 17 4" xfId="5590" xr:uid="{00000000-0005-0000-0000-00003F160000}"/>
    <cellStyle name="SAPBEXaggItemX 17 5" xfId="5591" xr:uid="{00000000-0005-0000-0000-000040160000}"/>
    <cellStyle name="SAPBEXaggItemX 17 6" xfId="5592" xr:uid="{00000000-0005-0000-0000-000041160000}"/>
    <cellStyle name="SAPBEXaggItemX 18" xfId="5593" xr:uid="{00000000-0005-0000-0000-000042160000}"/>
    <cellStyle name="SAPBEXaggItemX 18 2" xfId="5594" xr:uid="{00000000-0005-0000-0000-000043160000}"/>
    <cellStyle name="SAPBEXaggItemX 18 3" xfId="5595" xr:uid="{00000000-0005-0000-0000-000044160000}"/>
    <cellStyle name="SAPBEXaggItemX 18 4" xfId="5596" xr:uid="{00000000-0005-0000-0000-000045160000}"/>
    <cellStyle name="SAPBEXaggItemX 18 5" xfId="5597" xr:uid="{00000000-0005-0000-0000-000046160000}"/>
    <cellStyle name="SAPBEXaggItemX 18 6" xfId="5598" xr:uid="{00000000-0005-0000-0000-000047160000}"/>
    <cellStyle name="SAPBEXaggItemX 19" xfId="5599" xr:uid="{00000000-0005-0000-0000-000048160000}"/>
    <cellStyle name="SAPBEXaggItemX 19 2" xfId="5600" xr:uid="{00000000-0005-0000-0000-000049160000}"/>
    <cellStyle name="SAPBEXaggItemX 19 3" xfId="5601" xr:uid="{00000000-0005-0000-0000-00004A160000}"/>
    <cellStyle name="SAPBEXaggItemX 19 4" xfId="5602" xr:uid="{00000000-0005-0000-0000-00004B160000}"/>
    <cellStyle name="SAPBEXaggItemX 19 5" xfId="5603" xr:uid="{00000000-0005-0000-0000-00004C160000}"/>
    <cellStyle name="SAPBEXaggItemX 19 6" xfId="5604" xr:uid="{00000000-0005-0000-0000-00004D160000}"/>
    <cellStyle name="SAPBEXaggItemX 2" xfId="5605" xr:uid="{00000000-0005-0000-0000-00004E160000}"/>
    <cellStyle name="SAPBEXaggItemX 2 10" xfId="5606" xr:uid="{00000000-0005-0000-0000-00004F160000}"/>
    <cellStyle name="SAPBEXaggItemX 2 10 2" xfId="5607" xr:uid="{00000000-0005-0000-0000-000050160000}"/>
    <cellStyle name="SAPBEXaggItemX 2 10 3" xfId="5608" xr:uid="{00000000-0005-0000-0000-000051160000}"/>
    <cellStyle name="SAPBEXaggItemX 2 10 4" xfId="5609" xr:uid="{00000000-0005-0000-0000-000052160000}"/>
    <cellStyle name="SAPBEXaggItemX 2 11" xfId="5610" xr:uid="{00000000-0005-0000-0000-000053160000}"/>
    <cellStyle name="SAPBEXaggItemX 2 11 2" xfId="5611" xr:uid="{00000000-0005-0000-0000-000054160000}"/>
    <cellStyle name="SAPBEXaggItemX 2 11 3" xfId="5612" xr:uid="{00000000-0005-0000-0000-000055160000}"/>
    <cellStyle name="SAPBEXaggItemX 2 11 4" xfId="5613" xr:uid="{00000000-0005-0000-0000-000056160000}"/>
    <cellStyle name="SAPBEXaggItemX 2 12" xfId="5614" xr:uid="{00000000-0005-0000-0000-000057160000}"/>
    <cellStyle name="SAPBEXaggItemX 2 12 2" xfId="5615" xr:uid="{00000000-0005-0000-0000-000058160000}"/>
    <cellStyle name="SAPBEXaggItemX 2 12 3" xfId="5616" xr:uid="{00000000-0005-0000-0000-000059160000}"/>
    <cellStyle name="SAPBEXaggItemX 2 12 4" xfId="5617" xr:uid="{00000000-0005-0000-0000-00005A160000}"/>
    <cellStyle name="SAPBEXaggItemX 2 13" xfId="5618" xr:uid="{00000000-0005-0000-0000-00005B160000}"/>
    <cellStyle name="SAPBEXaggItemX 2 13 2" xfId="5619" xr:uid="{00000000-0005-0000-0000-00005C160000}"/>
    <cellStyle name="SAPBEXaggItemX 2 13 3" xfId="5620" xr:uid="{00000000-0005-0000-0000-00005D160000}"/>
    <cellStyle name="SAPBEXaggItemX 2 13 4" xfId="5621" xr:uid="{00000000-0005-0000-0000-00005E160000}"/>
    <cellStyle name="SAPBEXaggItemX 2 14" xfId="5622" xr:uid="{00000000-0005-0000-0000-00005F160000}"/>
    <cellStyle name="SAPBEXaggItemX 2 15" xfId="5623" xr:uid="{00000000-0005-0000-0000-000060160000}"/>
    <cellStyle name="SAPBEXaggItemX 2 16" xfId="5624" xr:uid="{00000000-0005-0000-0000-000061160000}"/>
    <cellStyle name="SAPBEXaggItemX 2 17" xfId="5625" xr:uid="{00000000-0005-0000-0000-000062160000}"/>
    <cellStyle name="SAPBEXaggItemX 2 18" xfId="5626" xr:uid="{00000000-0005-0000-0000-000063160000}"/>
    <cellStyle name="SAPBEXaggItemX 2 2" xfId="5627" xr:uid="{00000000-0005-0000-0000-000064160000}"/>
    <cellStyle name="SAPBEXaggItemX 2 2 2" xfId="5628" xr:uid="{00000000-0005-0000-0000-000065160000}"/>
    <cellStyle name="SAPBEXaggItemX 2 2 2 2" xfId="5629" xr:uid="{00000000-0005-0000-0000-000066160000}"/>
    <cellStyle name="SAPBEXaggItemX 2 2 2 3" xfId="5630" xr:uid="{00000000-0005-0000-0000-000067160000}"/>
    <cellStyle name="SAPBEXaggItemX 2 2 2 4" xfId="5631" xr:uid="{00000000-0005-0000-0000-000068160000}"/>
    <cellStyle name="SAPBEXaggItemX 2 2 2 5" xfId="5632" xr:uid="{00000000-0005-0000-0000-000069160000}"/>
    <cellStyle name="SAPBEXaggItemX 2 2 2 6" xfId="5633" xr:uid="{00000000-0005-0000-0000-00006A160000}"/>
    <cellStyle name="SAPBEXaggItemX 2 2 3" xfId="5634" xr:uid="{00000000-0005-0000-0000-00006B160000}"/>
    <cellStyle name="SAPBEXaggItemX 2 2 3 2" xfId="5635" xr:uid="{00000000-0005-0000-0000-00006C160000}"/>
    <cellStyle name="SAPBEXaggItemX 2 2 3 3" xfId="5636" xr:uid="{00000000-0005-0000-0000-00006D160000}"/>
    <cellStyle name="SAPBEXaggItemX 2 2 3 4" xfId="5637" xr:uid="{00000000-0005-0000-0000-00006E160000}"/>
    <cellStyle name="SAPBEXaggItemX 2 2 3 5" xfId="5638" xr:uid="{00000000-0005-0000-0000-00006F160000}"/>
    <cellStyle name="SAPBEXaggItemX 2 2 3 6" xfId="5639" xr:uid="{00000000-0005-0000-0000-000070160000}"/>
    <cellStyle name="SAPBEXaggItemX 2 2 4" xfId="5640" xr:uid="{00000000-0005-0000-0000-000071160000}"/>
    <cellStyle name="SAPBEXaggItemX 2 2 4 2" xfId="5641" xr:uid="{00000000-0005-0000-0000-000072160000}"/>
    <cellStyle name="SAPBEXaggItemX 2 2 4 3" xfId="5642" xr:uid="{00000000-0005-0000-0000-000073160000}"/>
    <cellStyle name="SAPBEXaggItemX 2 2 4 4" xfId="5643" xr:uid="{00000000-0005-0000-0000-000074160000}"/>
    <cellStyle name="SAPBEXaggItemX 2 2 4 5" xfId="5644" xr:uid="{00000000-0005-0000-0000-000075160000}"/>
    <cellStyle name="SAPBEXaggItemX 2 2 4 6" xfId="5645" xr:uid="{00000000-0005-0000-0000-000076160000}"/>
    <cellStyle name="SAPBEXaggItemX 2 2 5" xfId="5646" xr:uid="{00000000-0005-0000-0000-000077160000}"/>
    <cellStyle name="SAPBEXaggItemX 2 2 5 2" xfId="5647" xr:uid="{00000000-0005-0000-0000-000078160000}"/>
    <cellStyle name="SAPBEXaggItemX 2 2 5 3" xfId="5648" xr:uid="{00000000-0005-0000-0000-000079160000}"/>
    <cellStyle name="SAPBEXaggItemX 2 2 5 4" xfId="5649" xr:uid="{00000000-0005-0000-0000-00007A160000}"/>
    <cellStyle name="SAPBEXaggItemX 2 2 5 5" xfId="5650" xr:uid="{00000000-0005-0000-0000-00007B160000}"/>
    <cellStyle name="SAPBEXaggItemX 2 2 5 6" xfId="5651" xr:uid="{00000000-0005-0000-0000-00007C160000}"/>
    <cellStyle name="SAPBEXaggItemX 2 2 6" xfId="5652" xr:uid="{00000000-0005-0000-0000-00007D160000}"/>
    <cellStyle name="SAPBEXaggItemX 2 2 7" xfId="5653" xr:uid="{00000000-0005-0000-0000-00007E160000}"/>
    <cellStyle name="SAPBEXaggItemX 2 2 8" xfId="5654" xr:uid="{00000000-0005-0000-0000-00007F160000}"/>
    <cellStyle name="SAPBEXaggItemX 2 3" xfId="5655" xr:uid="{00000000-0005-0000-0000-000080160000}"/>
    <cellStyle name="SAPBEXaggItemX 2 3 2" xfId="5656" xr:uid="{00000000-0005-0000-0000-000081160000}"/>
    <cellStyle name="SAPBEXaggItemX 2 3 2 2" xfId="5657" xr:uid="{00000000-0005-0000-0000-000082160000}"/>
    <cellStyle name="SAPBEXaggItemX 2 3 2 3" xfId="5658" xr:uid="{00000000-0005-0000-0000-000083160000}"/>
    <cellStyle name="SAPBEXaggItemX 2 3 2 4" xfId="5659" xr:uid="{00000000-0005-0000-0000-000084160000}"/>
    <cellStyle name="SAPBEXaggItemX 2 3 2 5" xfId="5660" xr:uid="{00000000-0005-0000-0000-000085160000}"/>
    <cellStyle name="SAPBEXaggItemX 2 3 2 6" xfId="5661" xr:uid="{00000000-0005-0000-0000-000086160000}"/>
    <cellStyle name="SAPBEXaggItemX 2 3 3" xfId="5662" xr:uid="{00000000-0005-0000-0000-000087160000}"/>
    <cellStyle name="SAPBEXaggItemX 2 3 3 2" xfId="5663" xr:uid="{00000000-0005-0000-0000-000088160000}"/>
    <cellStyle name="SAPBEXaggItemX 2 3 3 3" xfId="5664" xr:uid="{00000000-0005-0000-0000-000089160000}"/>
    <cellStyle name="SAPBEXaggItemX 2 3 3 4" xfId="5665" xr:uid="{00000000-0005-0000-0000-00008A160000}"/>
    <cellStyle name="SAPBEXaggItemX 2 3 3 5" xfId="5666" xr:uid="{00000000-0005-0000-0000-00008B160000}"/>
    <cellStyle name="SAPBEXaggItemX 2 3 3 6" xfId="5667" xr:uid="{00000000-0005-0000-0000-00008C160000}"/>
    <cellStyle name="SAPBEXaggItemX 2 3 4" xfId="5668" xr:uid="{00000000-0005-0000-0000-00008D160000}"/>
    <cellStyle name="SAPBEXaggItemX 2 3 4 2" xfId="5669" xr:uid="{00000000-0005-0000-0000-00008E160000}"/>
    <cellStyle name="SAPBEXaggItemX 2 3 4 3" xfId="5670" xr:uid="{00000000-0005-0000-0000-00008F160000}"/>
    <cellStyle name="SAPBEXaggItemX 2 3 4 4" xfId="5671" xr:uid="{00000000-0005-0000-0000-000090160000}"/>
    <cellStyle name="SAPBEXaggItemX 2 3 4 5" xfId="5672" xr:uid="{00000000-0005-0000-0000-000091160000}"/>
    <cellStyle name="SAPBEXaggItemX 2 3 4 6" xfId="5673" xr:uid="{00000000-0005-0000-0000-000092160000}"/>
    <cellStyle name="SAPBEXaggItemX 2 3 5" xfId="5674" xr:uid="{00000000-0005-0000-0000-000093160000}"/>
    <cellStyle name="SAPBEXaggItemX 2 3 5 2" xfId="5675" xr:uid="{00000000-0005-0000-0000-000094160000}"/>
    <cellStyle name="SAPBEXaggItemX 2 3 5 3" xfId="5676" xr:uid="{00000000-0005-0000-0000-000095160000}"/>
    <cellStyle name="SAPBEXaggItemX 2 3 5 4" xfId="5677" xr:uid="{00000000-0005-0000-0000-000096160000}"/>
    <cellStyle name="SAPBEXaggItemX 2 3 5 5" xfId="5678" xr:uid="{00000000-0005-0000-0000-000097160000}"/>
    <cellStyle name="SAPBEXaggItemX 2 3 5 6" xfId="5679" xr:uid="{00000000-0005-0000-0000-000098160000}"/>
    <cellStyle name="SAPBEXaggItemX 2 3 6" xfId="5680" xr:uid="{00000000-0005-0000-0000-000099160000}"/>
    <cellStyle name="SAPBEXaggItemX 2 3 7" xfId="5681" xr:uid="{00000000-0005-0000-0000-00009A160000}"/>
    <cellStyle name="SAPBEXaggItemX 2 3 8" xfId="5682" xr:uid="{00000000-0005-0000-0000-00009B160000}"/>
    <cellStyle name="SAPBEXaggItemX 2 4" xfId="5683" xr:uid="{00000000-0005-0000-0000-00009C160000}"/>
    <cellStyle name="SAPBEXaggItemX 2 4 2" xfId="5684" xr:uid="{00000000-0005-0000-0000-00009D160000}"/>
    <cellStyle name="SAPBEXaggItemX 2 4 2 2" xfId="5685" xr:uid="{00000000-0005-0000-0000-00009E160000}"/>
    <cellStyle name="SAPBEXaggItemX 2 4 2 3" xfId="5686" xr:uid="{00000000-0005-0000-0000-00009F160000}"/>
    <cellStyle name="SAPBEXaggItemX 2 4 2 4" xfId="5687" xr:uid="{00000000-0005-0000-0000-0000A0160000}"/>
    <cellStyle name="SAPBEXaggItemX 2 4 2 5" xfId="5688" xr:uid="{00000000-0005-0000-0000-0000A1160000}"/>
    <cellStyle name="SAPBEXaggItemX 2 4 2 6" xfId="5689" xr:uid="{00000000-0005-0000-0000-0000A2160000}"/>
    <cellStyle name="SAPBEXaggItemX 2 4 3" xfId="5690" xr:uid="{00000000-0005-0000-0000-0000A3160000}"/>
    <cellStyle name="SAPBEXaggItemX 2 4 3 2" xfId="5691" xr:uid="{00000000-0005-0000-0000-0000A4160000}"/>
    <cellStyle name="SAPBEXaggItemX 2 4 3 3" xfId="5692" xr:uid="{00000000-0005-0000-0000-0000A5160000}"/>
    <cellStyle name="SAPBEXaggItemX 2 4 3 4" xfId="5693" xr:uid="{00000000-0005-0000-0000-0000A6160000}"/>
    <cellStyle name="SAPBEXaggItemX 2 4 3 5" xfId="5694" xr:uid="{00000000-0005-0000-0000-0000A7160000}"/>
    <cellStyle name="SAPBEXaggItemX 2 4 3 6" xfId="5695" xr:uid="{00000000-0005-0000-0000-0000A8160000}"/>
    <cellStyle name="SAPBEXaggItemX 2 4 4" xfId="5696" xr:uid="{00000000-0005-0000-0000-0000A9160000}"/>
    <cellStyle name="SAPBEXaggItemX 2 4 4 2" xfId="5697" xr:uid="{00000000-0005-0000-0000-0000AA160000}"/>
    <cellStyle name="SAPBEXaggItemX 2 4 4 3" xfId="5698" xr:uid="{00000000-0005-0000-0000-0000AB160000}"/>
    <cellStyle name="SAPBEXaggItemX 2 4 4 4" xfId="5699" xr:uid="{00000000-0005-0000-0000-0000AC160000}"/>
    <cellStyle name="SAPBEXaggItemX 2 4 4 5" xfId="5700" xr:uid="{00000000-0005-0000-0000-0000AD160000}"/>
    <cellStyle name="SAPBEXaggItemX 2 4 4 6" xfId="5701" xr:uid="{00000000-0005-0000-0000-0000AE160000}"/>
    <cellStyle name="SAPBEXaggItemX 2 4 5" xfId="5702" xr:uid="{00000000-0005-0000-0000-0000AF160000}"/>
    <cellStyle name="SAPBEXaggItemX 2 4 5 2" xfId="5703" xr:uid="{00000000-0005-0000-0000-0000B0160000}"/>
    <cellStyle name="SAPBEXaggItemX 2 4 5 3" xfId="5704" xr:uid="{00000000-0005-0000-0000-0000B1160000}"/>
    <cellStyle name="SAPBEXaggItemX 2 4 5 4" xfId="5705" xr:uid="{00000000-0005-0000-0000-0000B2160000}"/>
    <cellStyle name="SAPBEXaggItemX 2 4 5 5" xfId="5706" xr:uid="{00000000-0005-0000-0000-0000B3160000}"/>
    <cellStyle name="SAPBEXaggItemX 2 4 5 6" xfId="5707" xr:uid="{00000000-0005-0000-0000-0000B4160000}"/>
    <cellStyle name="SAPBEXaggItemX 2 4 6" xfId="5708" xr:uid="{00000000-0005-0000-0000-0000B5160000}"/>
    <cellStyle name="SAPBEXaggItemX 2 4 7" xfId="5709" xr:uid="{00000000-0005-0000-0000-0000B6160000}"/>
    <cellStyle name="SAPBEXaggItemX 2 4 8" xfId="5710" xr:uid="{00000000-0005-0000-0000-0000B7160000}"/>
    <cellStyle name="SAPBEXaggItemX 2 5" xfId="5711" xr:uid="{00000000-0005-0000-0000-0000B8160000}"/>
    <cellStyle name="SAPBEXaggItemX 2 5 2" xfId="5712" xr:uid="{00000000-0005-0000-0000-0000B9160000}"/>
    <cellStyle name="SAPBEXaggItemX 2 5 3" xfId="5713" xr:uid="{00000000-0005-0000-0000-0000BA160000}"/>
    <cellStyle name="SAPBEXaggItemX 2 5 4" xfId="5714" xr:uid="{00000000-0005-0000-0000-0000BB160000}"/>
    <cellStyle name="SAPBEXaggItemX 2 6" xfId="5715" xr:uid="{00000000-0005-0000-0000-0000BC160000}"/>
    <cellStyle name="SAPBEXaggItemX 2 6 2" xfId="5716" xr:uid="{00000000-0005-0000-0000-0000BD160000}"/>
    <cellStyle name="SAPBEXaggItemX 2 6 3" xfId="5717" xr:uid="{00000000-0005-0000-0000-0000BE160000}"/>
    <cellStyle name="SAPBEXaggItemX 2 6 4" xfId="5718" xr:uid="{00000000-0005-0000-0000-0000BF160000}"/>
    <cellStyle name="SAPBEXaggItemX 2 7" xfId="5719" xr:uid="{00000000-0005-0000-0000-0000C0160000}"/>
    <cellStyle name="SAPBEXaggItemX 2 7 2" xfId="5720" xr:uid="{00000000-0005-0000-0000-0000C1160000}"/>
    <cellStyle name="SAPBEXaggItemX 2 7 3" xfId="5721" xr:uid="{00000000-0005-0000-0000-0000C2160000}"/>
    <cellStyle name="SAPBEXaggItemX 2 7 4" xfId="5722" xr:uid="{00000000-0005-0000-0000-0000C3160000}"/>
    <cellStyle name="SAPBEXaggItemX 2 8" xfId="5723" xr:uid="{00000000-0005-0000-0000-0000C4160000}"/>
    <cellStyle name="SAPBEXaggItemX 2 8 2" xfId="5724" xr:uid="{00000000-0005-0000-0000-0000C5160000}"/>
    <cellStyle name="SAPBEXaggItemX 2 8 3" xfId="5725" xr:uid="{00000000-0005-0000-0000-0000C6160000}"/>
    <cellStyle name="SAPBEXaggItemX 2 8 4" xfId="5726" xr:uid="{00000000-0005-0000-0000-0000C7160000}"/>
    <cellStyle name="SAPBEXaggItemX 2 9" xfId="5727" xr:uid="{00000000-0005-0000-0000-0000C8160000}"/>
    <cellStyle name="SAPBEXaggItemX 2 9 2" xfId="5728" xr:uid="{00000000-0005-0000-0000-0000C9160000}"/>
    <cellStyle name="SAPBEXaggItemX 2 9 3" xfId="5729" xr:uid="{00000000-0005-0000-0000-0000CA160000}"/>
    <cellStyle name="SAPBEXaggItemX 2 9 4" xfId="5730" xr:uid="{00000000-0005-0000-0000-0000CB160000}"/>
    <cellStyle name="SAPBEXaggItemX 20" xfId="5731" xr:uid="{00000000-0005-0000-0000-0000CC160000}"/>
    <cellStyle name="SAPBEXaggItemX 20 2" xfId="5732" xr:uid="{00000000-0005-0000-0000-0000CD160000}"/>
    <cellStyle name="SAPBEXaggItemX 20 3" xfId="5733" xr:uid="{00000000-0005-0000-0000-0000CE160000}"/>
    <cellStyle name="SAPBEXaggItemX 20 4" xfId="5734" xr:uid="{00000000-0005-0000-0000-0000CF160000}"/>
    <cellStyle name="SAPBEXaggItemX 20 5" xfId="5735" xr:uid="{00000000-0005-0000-0000-0000D0160000}"/>
    <cellStyle name="SAPBEXaggItemX 20 6" xfId="5736" xr:uid="{00000000-0005-0000-0000-0000D1160000}"/>
    <cellStyle name="SAPBEXaggItemX 21" xfId="5737" xr:uid="{00000000-0005-0000-0000-0000D2160000}"/>
    <cellStyle name="SAPBEXaggItemX 21 2" xfId="5738" xr:uid="{00000000-0005-0000-0000-0000D3160000}"/>
    <cellStyle name="SAPBEXaggItemX 21 3" xfId="5739" xr:uid="{00000000-0005-0000-0000-0000D4160000}"/>
    <cellStyle name="SAPBEXaggItemX 21 4" xfId="5740" xr:uid="{00000000-0005-0000-0000-0000D5160000}"/>
    <cellStyle name="SAPBEXaggItemX 21 5" xfId="5741" xr:uid="{00000000-0005-0000-0000-0000D6160000}"/>
    <cellStyle name="SAPBEXaggItemX 21 6" xfId="5742" xr:uid="{00000000-0005-0000-0000-0000D7160000}"/>
    <cellStyle name="SAPBEXaggItemX 22" xfId="5743" xr:uid="{00000000-0005-0000-0000-0000D8160000}"/>
    <cellStyle name="SAPBEXaggItemX 22 2" xfId="5744" xr:uid="{00000000-0005-0000-0000-0000D9160000}"/>
    <cellStyle name="SAPBEXaggItemX 22 3" xfId="5745" xr:uid="{00000000-0005-0000-0000-0000DA160000}"/>
    <cellStyle name="SAPBEXaggItemX 22 4" xfId="5746" xr:uid="{00000000-0005-0000-0000-0000DB160000}"/>
    <cellStyle name="SAPBEXaggItemX 22 5" xfId="5747" xr:uid="{00000000-0005-0000-0000-0000DC160000}"/>
    <cellStyle name="SAPBEXaggItemX 22 6" xfId="5748" xr:uid="{00000000-0005-0000-0000-0000DD160000}"/>
    <cellStyle name="SAPBEXaggItemX 23" xfId="5749" xr:uid="{00000000-0005-0000-0000-0000DE160000}"/>
    <cellStyle name="SAPBEXaggItemX 23 2" xfId="5750" xr:uid="{00000000-0005-0000-0000-0000DF160000}"/>
    <cellStyle name="SAPBEXaggItemX 23 3" xfId="5751" xr:uid="{00000000-0005-0000-0000-0000E0160000}"/>
    <cellStyle name="SAPBEXaggItemX 23 4" xfId="5752" xr:uid="{00000000-0005-0000-0000-0000E1160000}"/>
    <cellStyle name="SAPBEXaggItemX 23 5" xfId="5753" xr:uid="{00000000-0005-0000-0000-0000E2160000}"/>
    <cellStyle name="SAPBEXaggItemX 23 6" xfId="5754" xr:uid="{00000000-0005-0000-0000-0000E3160000}"/>
    <cellStyle name="SAPBEXaggItemX 24" xfId="5755" xr:uid="{00000000-0005-0000-0000-0000E4160000}"/>
    <cellStyle name="SAPBEXaggItemX 24 2" xfId="5756" xr:uid="{00000000-0005-0000-0000-0000E5160000}"/>
    <cellStyle name="SAPBEXaggItemX 24 3" xfId="5757" xr:uid="{00000000-0005-0000-0000-0000E6160000}"/>
    <cellStyle name="SAPBEXaggItemX 24 4" xfId="5758" xr:uid="{00000000-0005-0000-0000-0000E7160000}"/>
    <cellStyle name="SAPBEXaggItemX 24 5" xfId="5759" xr:uid="{00000000-0005-0000-0000-0000E8160000}"/>
    <cellStyle name="SAPBEXaggItemX 24 6" xfId="5760" xr:uid="{00000000-0005-0000-0000-0000E9160000}"/>
    <cellStyle name="SAPBEXaggItemX 25" xfId="5761" xr:uid="{00000000-0005-0000-0000-0000EA160000}"/>
    <cellStyle name="SAPBEXaggItemX 25 2" xfId="5762" xr:uid="{00000000-0005-0000-0000-0000EB160000}"/>
    <cellStyle name="SAPBEXaggItemX 25 3" xfId="5763" xr:uid="{00000000-0005-0000-0000-0000EC160000}"/>
    <cellStyle name="SAPBEXaggItemX 25 4" xfId="5764" xr:uid="{00000000-0005-0000-0000-0000ED160000}"/>
    <cellStyle name="SAPBEXaggItemX 25 5" xfId="5765" xr:uid="{00000000-0005-0000-0000-0000EE160000}"/>
    <cellStyle name="SAPBEXaggItemX 25 6" xfId="5766" xr:uid="{00000000-0005-0000-0000-0000EF160000}"/>
    <cellStyle name="SAPBEXaggItemX 26" xfId="5767" xr:uid="{00000000-0005-0000-0000-0000F0160000}"/>
    <cellStyle name="SAPBEXaggItemX 26 2" xfId="5768" xr:uid="{00000000-0005-0000-0000-0000F1160000}"/>
    <cellStyle name="SAPBEXaggItemX 26 3" xfId="5769" xr:uid="{00000000-0005-0000-0000-0000F2160000}"/>
    <cellStyle name="SAPBEXaggItemX 26 4" xfId="5770" xr:uid="{00000000-0005-0000-0000-0000F3160000}"/>
    <cellStyle name="SAPBEXaggItemX 26 5" xfId="5771" xr:uid="{00000000-0005-0000-0000-0000F4160000}"/>
    <cellStyle name="SAPBEXaggItemX 26 6" xfId="5772" xr:uid="{00000000-0005-0000-0000-0000F5160000}"/>
    <cellStyle name="SAPBEXaggItemX 27" xfId="5773" xr:uid="{00000000-0005-0000-0000-0000F6160000}"/>
    <cellStyle name="SAPBEXaggItemX 27 2" xfId="5774" xr:uid="{00000000-0005-0000-0000-0000F7160000}"/>
    <cellStyle name="SAPBEXaggItemX 27 3" xfId="5775" xr:uid="{00000000-0005-0000-0000-0000F8160000}"/>
    <cellStyle name="SAPBEXaggItemX 27 4" xfId="5776" xr:uid="{00000000-0005-0000-0000-0000F9160000}"/>
    <cellStyle name="SAPBEXaggItemX 27 5" xfId="5777" xr:uid="{00000000-0005-0000-0000-0000FA160000}"/>
    <cellStyle name="SAPBEXaggItemX 27 6" xfId="5778" xr:uid="{00000000-0005-0000-0000-0000FB160000}"/>
    <cellStyle name="SAPBEXaggItemX 28" xfId="5779" xr:uid="{00000000-0005-0000-0000-0000FC160000}"/>
    <cellStyle name="SAPBEXaggItemX 28 2" xfId="5780" xr:uid="{00000000-0005-0000-0000-0000FD160000}"/>
    <cellStyle name="SAPBEXaggItemX 28 3" xfId="5781" xr:uid="{00000000-0005-0000-0000-0000FE160000}"/>
    <cellStyle name="SAPBEXaggItemX 28 4" xfId="5782" xr:uid="{00000000-0005-0000-0000-0000FF160000}"/>
    <cellStyle name="SAPBEXaggItemX 28 5" xfId="5783" xr:uid="{00000000-0005-0000-0000-000000170000}"/>
    <cellStyle name="SAPBEXaggItemX 28 6" xfId="5784" xr:uid="{00000000-0005-0000-0000-000001170000}"/>
    <cellStyle name="SAPBEXaggItemX 29" xfId="5785" xr:uid="{00000000-0005-0000-0000-000002170000}"/>
    <cellStyle name="SAPBEXaggItemX 29 2" xfId="5786" xr:uid="{00000000-0005-0000-0000-000003170000}"/>
    <cellStyle name="SAPBEXaggItemX 29 3" xfId="5787" xr:uid="{00000000-0005-0000-0000-000004170000}"/>
    <cellStyle name="SAPBEXaggItemX 29 4" xfId="5788" xr:uid="{00000000-0005-0000-0000-000005170000}"/>
    <cellStyle name="SAPBEXaggItemX 29 5" xfId="5789" xr:uid="{00000000-0005-0000-0000-000006170000}"/>
    <cellStyle name="SAPBEXaggItemX 29 6" xfId="5790" xr:uid="{00000000-0005-0000-0000-000007170000}"/>
    <cellStyle name="SAPBEXaggItemX 3" xfId="5791" xr:uid="{00000000-0005-0000-0000-000008170000}"/>
    <cellStyle name="SAPBEXaggItemX 3 10" xfId="5792" xr:uid="{00000000-0005-0000-0000-000009170000}"/>
    <cellStyle name="SAPBEXaggItemX 3 11" xfId="5793" xr:uid="{00000000-0005-0000-0000-00000A170000}"/>
    <cellStyle name="SAPBEXaggItemX 3 12" xfId="5794" xr:uid="{00000000-0005-0000-0000-00000B170000}"/>
    <cellStyle name="SAPBEXaggItemX 3 2" xfId="5795" xr:uid="{00000000-0005-0000-0000-00000C170000}"/>
    <cellStyle name="SAPBEXaggItemX 3 2 2" xfId="5796" xr:uid="{00000000-0005-0000-0000-00000D170000}"/>
    <cellStyle name="SAPBEXaggItemX 3 2 2 2" xfId="5797" xr:uid="{00000000-0005-0000-0000-00000E170000}"/>
    <cellStyle name="SAPBEXaggItemX 3 2 2 3" xfId="5798" xr:uid="{00000000-0005-0000-0000-00000F170000}"/>
    <cellStyle name="SAPBEXaggItemX 3 2 2 4" xfId="5799" xr:uid="{00000000-0005-0000-0000-000010170000}"/>
    <cellStyle name="SAPBEXaggItemX 3 2 2 5" xfId="5800" xr:uid="{00000000-0005-0000-0000-000011170000}"/>
    <cellStyle name="SAPBEXaggItemX 3 2 2 6" xfId="5801" xr:uid="{00000000-0005-0000-0000-000012170000}"/>
    <cellStyle name="SAPBEXaggItemX 3 2 3" xfId="5802" xr:uid="{00000000-0005-0000-0000-000013170000}"/>
    <cellStyle name="SAPBEXaggItemX 3 2 3 2" xfId="5803" xr:uid="{00000000-0005-0000-0000-000014170000}"/>
    <cellStyle name="SAPBEXaggItemX 3 2 3 3" xfId="5804" xr:uid="{00000000-0005-0000-0000-000015170000}"/>
    <cellStyle name="SAPBEXaggItemX 3 2 3 4" xfId="5805" xr:uid="{00000000-0005-0000-0000-000016170000}"/>
    <cellStyle name="SAPBEXaggItemX 3 2 3 5" xfId="5806" xr:uid="{00000000-0005-0000-0000-000017170000}"/>
    <cellStyle name="SAPBEXaggItemX 3 2 3 6" xfId="5807" xr:uid="{00000000-0005-0000-0000-000018170000}"/>
    <cellStyle name="SAPBEXaggItemX 3 2 4" xfId="5808" xr:uid="{00000000-0005-0000-0000-000019170000}"/>
    <cellStyle name="SAPBEXaggItemX 3 2 4 2" xfId="5809" xr:uid="{00000000-0005-0000-0000-00001A170000}"/>
    <cellStyle name="SAPBEXaggItemX 3 2 4 3" xfId="5810" xr:uid="{00000000-0005-0000-0000-00001B170000}"/>
    <cellStyle name="SAPBEXaggItemX 3 2 4 4" xfId="5811" xr:uid="{00000000-0005-0000-0000-00001C170000}"/>
    <cellStyle name="SAPBEXaggItemX 3 2 4 5" xfId="5812" xr:uid="{00000000-0005-0000-0000-00001D170000}"/>
    <cellStyle name="SAPBEXaggItemX 3 2 4 6" xfId="5813" xr:uid="{00000000-0005-0000-0000-00001E170000}"/>
    <cellStyle name="SAPBEXaggItemX 3 2 5" xfId="5814" xr:uid="{00000000-0005-0000-0000-00001F170000}"/>
    <cellStyle name="SAPBEXaggItemX 3 2 5 2" xfId="5815" xr:uid="{00000000-0005-0000-0000-000020170000}"/>
    <cellStyle name="SAPBEXaggItemX 3 2 5 3" xfId="5816" xr:uid="{00000000-0005-0000-0000-000021170000}"/>
    <cellStyle name="SAPBEXaggItemX 3 2 5 4" xfId="5817" xr:uid="{00000000-0005-0000-0000-000022170000}"/>
    <cellStyle name="SAPBEXaggItemX 3 2 5 5" xfId="5818" xr:uid="{00000000-0005-0000-0000-000023170000}"/>
    <cellStyle name="SAPBEXaggItemX 3 2 5 6" xfId="5819" xr:uid="{00000000-0005-0000-0000-000024170000}"/>
    <cellStyle name="SAPBEXaggItemX 3 2 6" xfId="5820" xr:uid="{00000000-0005-0000-0000-000025170000}"/>
    <cellStyle name="SAPBEXaggItemX 3 2 7" xfId="5821" xr:uid="{00000000-0005-0000-0000-000026170000}"/>
    <cellStyle name="SAPBEXaggItemX 3 2 8" xfId="5822" xr:uid="{00000000-0005-0000-0000-000027170000}"/>
    <cellStyle name="SAPBEXaggItemX 3 3" xfId="5823" xr:uid="{00000000-0005-0000-0000-000028170000}"/>
    <cellStyle name="SAPBEXaggItemX 3 3 2" xfId="5824" xr:uid="{00000000-0005-0000-0000-000029170000}"/>
    <cellStyle name="SAPBEXaggItemX 3 3 3" xfId="5825" xr:uid="{00000000-0005-0000-0000-00002A170000}"/>
    <cellStyle name="SAPBEXaggItemX 3 3 4" xfId="5826" xr:uid="{00000000-0005-0000-0000-00002B170000}"/>
    <cellStyle name="SAPBEXaggItemX 3 3 5" xfId="5827" xr:uid="{00000000-0005-0000-0000-00002C170000}"/>
    <cellStyle name="SAPBEXaggItemX 3 3 6" xfId="5828" xr:uid="{00000000-0005-0000-0000-00002D170000}"/>
    <cellStyle name="SAPBEXaggItemX 3 4" xfId="5829" xr:uid="{00000000-0005-0000-0000-00002E170000}"/>
    <cellStyle name="SAPBEXaggItemX 3 4 2" xfId="5830" xr:uid="{00000000-0005-0000-0000-00002F170000}"/>
    <cellStyle name="SAPBEXaggItemX 3 4 3" xfId="5831" xr:uid="{00000000-0005-0000-0000-000030170000}"/>
    <cellStyle name="SAPBEXaggItemX 3 4 4" xfId="5832" xr:uid="{00000000-0005-0000-0000-000031170000}"/>
    <cellStyle name="SAPBEXaggItemX 3 4 5" xfId="5833" xr:uid="{00000000-0005-0000-0000-000032170000}"/>
    <cellStyle name="SAPBEXaggItemX 3 4 6" xfId="5834" xr:uid="{00000000-0005-0000-0000-000033170000}"/>
    <cellStyle name="SAPBEXaggItemX 3 5" xfId="5835" xr:uid="{00000000-0005-0000-0000-000034170000}"/>
    <cellStyle name="SAPBEXaggItemX 3 5 2" xfId="5836" xr:uid="{00000000-0005-0000-0000-000035170000}"/>
    <cellStyle name="SAPBEXaggItemX 3 5 3" xfId="5837" xr:uid="{00000000-0005-0000-0000-000036170000}"/>
    <cellStyle name="SAPBEXaggItemX 3 5 4" xfId="5838" xr:uid="{00000000-0005-0000-0000-000037170000}"/>
    <cellStyle name="SAPBEXaggItemX 3 6" xfId="5839" xr:uid="{00000000-0005-0000-0000-000038170000}"/>
    <cellStyle name="SAPBEXaggItemX 3 6 2" xfId="5840" xr:uid="{00000000-0005-0000-0000-000039170000}"/>
    <cellStyle name="SAPBEXaggItemX 3 6 3" xfId="5841" xr:uid="{00000000-0005-0000-0000-00003A170000}"/>
    <cellStyle name="SAPBEXaggItemX 3 6 4" xfId="5842" xr:uid="{00000000-0005-0000-0000-00003B170000}"/>
    <cellStyle name="SAPBEXaggItemX 3 7" xfId="5843" xr:uid="{00000000-0005-0000-0000-00003C170000}"/>
    <cellStyle name="SAPBEXaggItemX 3 7 2" xfId="5844" xr:uid="{00000000-0005-0000-0000-00003D170000}"/>
    <cellStyle name="SAPBEXaggItemX 3 7 3" xfId="5845" xr:uid="{00000000-0005-0000-0000-00003E170000}"/>
    <cellStyle name="SAPBEXaggItemX 3 7 4" xfId="5846" xr:uid="{00000000-0005-0000-0000-00003F170000}"/>
    <cellStyle name="SAPBEXaggItemX 3 8" xfId="5847" xr:uid="{00000000-0005-0000-0000-000040170000}"/>
    <cellStyle name="SAPBEXaggItemX 3 9" xfId="5848" xr:uid="{00000000-0005-0000-0000-000041170000}"/>
    <cellStyle name="SAPBEXaggItemX 30" xfId="5849" xr:uid="{00000000-0005-0000-0000-000042170000}"/>
    <cellStyle name="SAPBEXaggItemX 30 2" xfId="5850" xr:uid="{00000000-0005-0000-0000-000043170000}"/>
    <cellStyle name="SAPBEXaggItemX 30 3" xfId="5851" xr:uid="{00000000-0005-0000-0000-000044170000}"/>
    <cellStyle name="SAPBEXaggItemX 30 4" xfId="5852" xr:uid="{00000000-0005-0000-0000-000045170000}"/>
    <cellStyle name="SAPBEXaggItemX 30 5" xfId="5853" xr:uid="{00000000-0005-0000-0000-000046170000}"/>
    <cellStyle name="SAPBEXaggItemX 30 6" xfId="5854" xr:uid="{00000000-0005-0000-0000-000047170000}"/>
    <cellStyle name="SAPBEXaggItemX 31" xfId="5855" xr:uid="{00000000-0005-0000-0000-000048170000}"/>
    <cellStyle name="SAPBEXaggItemX 31 2" xfId="5856" xr:uid="{00000000-0005-0000-0000-000049170000}"/>
    <cellStyle name="SAPBEXaggItemX 31 3" xfId="5857" xr:uid="{00000000-0005-0000-0000-00004A170000}"/>
    <cellStyle name="SAPBEXaggItemX 31 4" xfId="5858" xr:uid="{00000000-0005-0000-0000-00004B170000}"/>
    <cellStyle name="SAPBEXaggItemX 31 5" xfId="5859" xr:uid="{00000000-0005-0000-0000-00004C170000}"/>
    <cellStyle name="SAPBEXaggItemX 31 6" xfId="5860" xr:uid="{00000000-0005-0000-0000-00004D170000}"/>
    <cellStyle name="SAPBEXaggItemX 32" xfId="5861" xr:uid="{00000000-0005-0000-0000-00004E170000}"/>
    <cellStyle name="SAPBEXaggItemX 32 2" xfId="5862" xr:uid="{00000000-0005-0000-0000-00004F170000}"/>
    <cellStyle name="SAPBEXaggItemX 32 3" xfId="5863" xr:uid="{00000000-0005-0000-0000-000050170000}"/>
    <cellStyle name="SAPBEXaggItemX 32 4" xfId="5864" xr:uid="{00000000-0005-0000-0000-000051170000}"/>
    <cellStyle name="SAPBEXaggItemX 32 5" xfId="5865" xr:uid="{00000000-0005-0000-0000-000052170000}"/>
    <cellStyle name="SAPBEXaggItemX 32 6" xfId="5866" xr:uid="{00000000-0005-0000-0000-000053170000}"/>
    <cellStyle name="SAPBEXaggItemX 33" xfId="5867" xr:uid="{00000000-0005-0000-0000-000054170000}"/>
    <cellStyle name="SAPBEXaggItemX 34" xfId="5868" xr:uid="{00000000-0005-0000-0000-000055170000}"/>
    <cellStyle name="SAPBEXaggItemX 35" xfId="5869" xr:uid="{00000000-0005-0000-0000-000056170000}"/>
    <cellStyle name="SAPBEXaggItemX 36" xfId="27792" xr:uid="{00000000-0005-0000-0000-000057170000}"/>
    <cellStyle name="SAPBEXaggItemX 37" xfId="27905" xr:uid="{00000000-0005-0000-0000-000058170000}"/>
    <cellStyle name="SAPBEXaggItemX 38" xfId="28005" xr:uid="{00000000-0005-0000-0000-000059170000}"/>
    <cellStyle name="SAPBEXaggItemX 39" xfId="28144" xr:uid="{00000000-0005-0000-0000-00005A170000}"/>
    <cellStyle name="SAPBEXaggItemX 4" xfId="5870" xr:uid="{00000000-0005-0000-0000-00005B170000}"/>
    <cellStyle name="SAPBEXaggItemX 4 2" xfId="5871" xr:uid="{00000000-0005-0000-0000-00005C170000}"/>
    <cellStyle name="SAPBEXaggItemX 4 3" xfId="5872" xr:uid="{00000000-0005-0000-0000-00005D170000}"/>
    <cellStyle name="SAPBEXaggItemX 4 4" xfId="5873" xr:uid="{00000000-0005-0000-0000-00005E170000}"/>
    <cellStyle name="SAPBEXaggItemX 4 5" xfId="5874" xr:uid="{00000000-0005-0000-0000-00005F170000}"/>
    <cellStyle name="SAPBEXaggItemX 4 6" xfId="5875" xr:uid="{00000000-0005-0000-0000-000060170000}"/>
    <cellStyle name="SAPBEXaggItemX 5" xfId="5876" xr:uid="{00000000-0005-0000-0000-000061170000}"/>
    <cellStyle name="SAPBEXaggItemX 5 2" xfId="5877" xr:uid="{00000000-0005-0000-0000-000062170000}"/>
    <cellStyle name="SAPBEXaggItemX 5 3" xfId="5878" xr:uid="{00000000-0005-0000-0000-000063170000}"/>
    <cellStyle name="SAPBEXaggItemX 5 4" xfId="5879" xr:uid="{00000000-0005-0000-0000-000064170000}"/>
    <cellStyle name="SAPBEXaggItemX 5 5" xfId="5880" xr:uid="{00000000-0005-0000-0000-000065170000}"/>
    <cellStyle name="SAPBEXaggItemX 5 6" xfId="5881" xr:uid="{00000000-0005-0000-0000-000066170000}"/>
    <cellStyle name="SAPBEXaggItemX 6" xfId="5882" xr:uid="{00000000-0005-0000-0000-000067170000}"/>
    <cellStyle name="SAPBEXaggItemX 6 10" xfId="5883" xr:uid="{00000000-0005-0000-0000-000068170000}"/>
    <cellStyle name="SAPBEXaggItemX 6 2" xfId="5884" xr:uid="{00000000-0005-0000-0000-000069170000}"/>
    <cellStyle name="SAPBEXaggItemX 6 2 2" xfId="5885" xr:uid="{00000000-0005-0000-0000-00006A170000}"/>
    <cellStyle name="SAPBEXaggItemX 6 2 3" xfId="5886" xr:uid="{00000000-0005-0000-0000-00006B170000}"/>
    <cellStyle name="SAPBEXaggItemX 6 2 4" xfId="5887" xr:uid="{00000000-0005-0000-0000-00006C170000}"/>
    <cellStyle name="SAPBEXaggItemX 6 3" xfId="5888" xr:uid="{00000000-0005-0000-0000-00006D170000}"/>
    <cellStyle name="SAPBEXaggItemX 6 3 2" xfId="5889" xr:uid="{00000000-0005-0000-0000-00006E170000}"/>
    <cellStyle name="SAPBEXaggItemX 6 3 3" xfId="5890" xr:uid="{00000000-0005-0000-0000-00006F170000}"/>
    <cellStyle name="SAPBEXaggItemX 6 3 4" xfId="5891" xr:uid="{00000000-0005-0000-0000-000070170000}"/>
    <cellStyle name="SAPBEXaggItemX 6 4" xfId="5892" xr:uid="{00000000-0005-0000-0000-000071170000}"/>
    <cellStyle name="SAPBEXaggItemX 6 4 2" xfId="5893" xr:uid="{00000000-0005-0000-0000-000072170000}"/>
    <cellStyle name="SAPBEXaggItemX 6 4 3" xfId="5894" xr:uid="{00000000-0005-0000-0000-000073170000}"/>
    <cellStyle name="SAPBEXaggItemX 6 4 4" xfId="5895" xr:uid="{00000000-0005-0000-0000-000074170000}"/>
    <cellStyle name="SAPBEXaggItemX 6 5" xfId="5896" xr:uid="{00000000-0005-0000-0000-000075170000}"/>
    <cellStyle name="SAPBEXaggItemX 6 5 2" xfId="5897" xr:uid="{00000000-0005-0000-0000-000076170000}"/>
    <cellStyle name="SAPBEXaggItemX 6 5 3" xfId="5898" xr:uid="{00000000-0005-0000-0000-000077170000}"/>
    <cellStyle name="SAPBEXaggItemX 6 5 4" xfId="5899" xr:uid="{00000000-0005-0000-0000-000078170000}"/>
    <cellStyle name="SAPBEXaggItemX 6 6" xfId="5900" xr:uid="{00000000-0005-0000-0000-000079170000}"/>
    <cellStyle name="SAPBEXaggItemX 6 7" xfId="5901" xr:uid="{00000000-0005-0000-0000-00007A170000}"/>
    <cellStyle name="SAPBEXaggItemX 6 8" xfId="5902" xr:uid="{00000000-0005-0000-0000-00007B170000}"/>
    <cellStyle name="SAPBEXaggItemX 6 9" xfId="5903" xr:uid="{00000000-0005-0000-0000-00007C170000}"/>
    <cellStyle name="SAPBEXaggItemX 7" xfId="5904" xr:uid="{00000000-0005-0000-0000-00007D170000}"/>
    <cellStyle name="SAPBEXaggItemX 7 10" xfId="5905" xr:uid="{00000000-0005-0000-0000-00007E170000}"/>
    <cellStyle name="SAPBEXaggItemX 7 2" xfId="5906" xr:uid="{00000000-0005-0000-0000-00007F170000}"/>
    <cellStyle name="SAPBEXaggItemX 7 2 2" xfId="5907" xr:uid="{00000000-0005-0000-0000-000080170000}"/>
    <cellStyle name="SAPBEXaggItemX 7 2 3" xfId="5908" xr:uid="{00000000-0005-0000-0000-000081170000}"/>
    <cellStyle name="SAPBEXaggItemX 7 2 4" xfId="5909" xr:uid="{00000000-0005-0000-0000-000082170000}"/>
    <cellStyle name="SAPBEXaggItemX 7 3" xfId="5910" xr:uid="{00000000-0005-0000-0000-000083170000}"/>
    <cellStyle name="SAPBEXaggItemX 7 3 2" xfId="5911" xr:uid="{00000000-0005-0000-0000-000084170000}"/>
    <cellStyle name="SAPBEXaggItemX 7 3 3" xfId="5912" xr:uid="{00000000-0005-0000-0000-000085170000}"/>
    <cellStyle name="SAPBEXaggItemX 7 3 4" xfId="5913" xr:uid="{00000000-0005-0000-0000-000086170000}"/>
    <cellStyle name="SAPBEXaggItemX 7 4" xfId="5914" xr:uid="{00000000-0005-0000-0000-000087170000}"/>
    <cellStyle name="SAPBEXaggItemX 7 4 2" xfId="5915" xr:uid="{00000000-0005-0000-0000-000088170000}"/>
    <cellStyle name="SAPBEXaggItemX 7 4 3" xfId="5916" xr:uid="{00000000-0005-0000-0000-000089170000}"/>
    <cellStyle name="SAPBEXaggItemX 7 4 4" xfId="5917" xr:uid="{00000000-0005-0000-0000-00008A170000}"/>
    <cellStyle name="SAPBEXaggItemX 7 5" xfId="5918" xr:uid="{00000000-0005-0000-0000-00008B170000}"/>
    <cellStyle name="SAPBEXaggItemX 7 5 2" xfId="5919" xr:uid="{00000000-0005-0000-0000-00008C170000}"/>
    <cellStyle name="SAPBEXaggItemX 7 5 3" xfId="5920" xr:uid="{00000000-0005-0000-0000-00008D170000}"/>
    <cellStyle name="SAPBEXaggItemX 7 5 4" xfId="5921" xr:uid="{00000000-0005-0000-0000-00008E170000}"/>
    <cellStyle name="SAPBEXaggItemX 7 6" xfId="5922" xr:uid="{00000000-0005-0000-0000-00008F170000}"/>
    <cellStyle name="SAPBEXaggItemX 7 7" xfId="5923" xr:uid="{00000000-0005-0000-0000-000090170000}"/>
    <cellStyle name="SAPBEXaggItemX 7 8" xfId="5924" xr:uid="{00000000-0005-0000-0000-000091170000}"/>
    <cellStyle name="SAPBEXaggItemX 7 9" xfId="5925" xr:uid="{00000000-0005-0000-0000-000092170000}"/>
    <cellStyle name="SAPBEXaggItemX 8" xfId="5926" xr:uid="{00000000-0005-0000-0000-000093170000}"/>
    <cellStyle name="SAPBEXaggItemX 8 2" xfId="5927" xr:uid="{00000000-0005-0000-0000-000094170000}"/>
    <cellStyle name="SAPBEXaggItemX 8 3" xfId="5928" xr:uid="{00000000-0005-0000-0000-000095170000}"/>
    <cellStyle name="SAPBEXaggItemX 8 4" xfId="5929" xr:uid="{00000000-0005-0000-0000-000096170000}"/>
    <cellStyle name="SAPBEXaggItemX 8 5" xfId="5930" xr:uid="{00000000-0005-0000-0000-000097170000}"/>
    <cellStyle name="SAPBEXaggItemX 8 6" xfId="5931" xr:uid="{00000000-0005-0000-0000-000098170000}"/>
    <cellStyle name="SAPBEXaggItemX 9" xfId="5932" xr:uid="{00000000-0005-0000-0000-000099170000}"/>
    <cellStyle name="SAPBEXaggItemX 9 2" xfId="5933" xr:uid="{00000000-0005-0000-0000-00009A170000}"/>
    <cellStyle name="SAPBEXaggItemX 9 3" xfId="5934" xr:uid="{00000000-0005-0000-0000-00009B170000}"/>
    <cellStyle name="SAPBEXaggItemX 9 4" xfId="5935" xr:uid="{00000000-0005-0000-0000-00009C170000}"/>
    <cellStyle name="SAPBEXaggItemX 9 5" xfId="5936" xr:uid="{00000000-0005-0000-0000-00009D170000}"/>
    <cellStyle name="SAPBEXaggItemX 9 6" xfId="5937" xr:uid="{00000000-0005-0000-0000-00009E170000}"/>
    <cellStyle name="SAPBEXaggItemX_Receipts" xfId="5938" xr:uid="{00000000-0005-0000-0000-00009F170000}"/>
    <cellStyle name="SAPBEXchaText" xfId="5939" xr:uid="{00000000-0005-0000-0000-0000A0170000}"/>
    <cellStyle name="SAPBEXchaText 10" xfId="5940" xr:uid="{00000000-0005-0000-0000-0000A1170000}"/>
    <cellStyle name="SAPBEXchaText 10 2" xfId="5941" xr:uid="{00000000-0005-0000-0000-0000A2170000}"/>
    <cellStyle name="SAPBEXchaText 10 3" xfId="5942" xr:uid="{00000000-0005-0000-0000-0000A3170000}"/>
    <cellStyle name="SAPBEXchaText 10 4" xfId="5943" xr:uid="{00000000-0005-0000-0000-0000A4170000}"/>
    <cellStyle name="SAPBEXchaText 10 5" xfId="5944" xr:uid="{00000000-0005-0000-0000-0000A5170000}"/>
    <cellStyle name="SAPBEXchaText 10 6" xfId="5945" xr:uid="{00000000-0005-0000-0000-0000A6170000}"/>
    <cellStyle name="SAPBEXchaText 10 7" xfId="28040" xr:uid="{00000000-0005-0000-0000-0000A7170000}"/>
    <cellStyle name="SAPBEXchaText 100" xfId="5946" xr:uid="{00000000-0005-0000-0000-0000A8170000}"/>
    <cellStyle name="SAPBEXchaText 101" xfId="5947" xr:uid="{00000000-0005-0000-0000-0000A9170000}"/>
    <cellStyle name="SAPBEXchaText 102" xfId="5948" xr:uid="{00000000-0005-0000-0000-0000AA170000}"/>
    <cellStyle name="SAPBEXchaText 103" xfId="5949" xr:uid="{00000000-0005-0000-0000-0000AB170000}"/>
    <cellStyle name="SAPBEXchaText 104" xfId="5950" xr:uid="{00000000-0005-0000-0000-0000AC170000}"/>
    <cellStyle name="SAPBEXchaText 105" xfId="5951" xr:uid="{00000000-0005-0000-0000-0000AD170000}"/>
    <cellStyle name="SAPBEXchaText 106" xfId="5952" xr:uid="{00000000-0005-0000-0000-0000AE170000}"/>
    <cellStyle name="SAPBEXchaText 107" xfId="5953" xr:uid="{00000000-0005-0000-0000-0000AF170000}"/>
    <cellStyle name="SAPBEXchaText 108" xfId="5954" xr:uid="{00000000-0005-0000-0000-0000B0170000}"/>
    <cellStyle name="SAPBEXchaText 109" xfId="5955" xr:uid="{00000000-0005-0000-0000-0000B1170000}"/>
    <cellStyle name="SAPBEXchaText 11" xfId="5956" xr:uid="{00000000-0005-0000-0000-0000B2170000}"/>
    <cellStyle name="SAPBEXchaText 11 2" xfId="5957" xr:uid="{00000000-0005-0000-0000-0000B3170000}"/>
    <cellStyle name="SAPBEXchaText 11 3" xfId="5958" xr:uid="{00000000-0005-0000-0000-0000B4170000}"/>
    <cellStyle name="SAPBEXchaText 11 4" xfId="5959" xr:uid="{00000000-0005-0000-0000-0000B5170000}"/>
    <cellStyle name="SAPBEXchaText 11 5" xfId="5960" xr:uid="{00000000-0005-0000-0000-0000B6170000}"/>
    <cellStyle name="SAPBEXchaText 11 6" xfId="5961" xr:uid="{00000000-0005-0000-0000-0000B7170000}"/>
    <cellStyle name="SAPBEXchaText 110" xfId="5962" xr:uid="{00000000-0005-0000-0000-0000B8170000}"/>
    <cellStyle name="SAPBEXchaText 111" xfId="5963" xr:uid="{00000000-0005-0000-0000-0000B9170000}"/>
    <cellStyle name="SAPBEXchaText 112" xfId="5964" xr:uid="{00000000-0005-0000-0000-0000BA170000}"/>
    <cellStyle name="SAPBEXchaText 113" xfId="5965" xr:uid="{00000000-0005-0000-0000-0000BB170000}"/>
    <cellStyle name="SAPBEXchaText 114" xfId="5966" xr:uid="{00000000-0005-0000-0000-0000BC170000}"/>
    <cellStyle name="SAPBEXchaText 115" xfId="5967" xr:uid="{00000000-0005-0000-0000-0000BD170000}"/>
    <cellStyle name="SAPBEXchaText 116" xfId="5968" xr:uid="{00000000-0005-0000-0000-0000BE170000}"/>
    <cellStyle name="SAPBEXchaText 117" xfId="5969" xr:uid="{00000000-0005-0000-0000-0000BF170000}"/>
    <cellStyle name="SAPBEXchaText 118" xfId="5970" xr:uid="{00000000-0005-0000-0000-0000C0170000}"/>
    <cellStyle name="SAPBEXchaText 119" xfId="5971" xr:uid="{00000000-0005-0000-0000-0000C1170000}"/>
    <cellStyle name="SAPBEXchaText 12" xfId="5972" xr:uid="{00000000-0005-0000-0000-0000C2170000}"/>
    <cellStyle name="SAPBEXchaText 12 2" xfId="5973" xr:uid="{00000000-0005-0000-0000-0000C3170000}"/>
    <cellStyle name="SAPBEXchaText 12 3" xfId="5974" xr:uid="{00000000-0005-0000-0000-0000C4170000}"/>
    <cellStyle name="SAPBEXchaText 12 4" xfId="5975" xr:uid="{00000000-0005-0000-0000-0000C5170000}"/>
    <cellStyle name="SAPBEXchaText 12 5" xfId="5976" xr:uid="{00000000-0005-0000-0000-0000C6170000}"/>
    <cellStyle name="SAPBEXchaText 12 6" xfId="5977" xr:uid="{00000000-0005-0000-0000-0000C7170000}"/>
    <cellStyle name="SAPBEXchaText 120" xfId="5978" xr:uid="{00000000-0005-0000-0000-0000C8170000}"/>
    <cellStyle name="SAPBEXchaText 121" xfId="5979" xr:uid="{00000000-0005-0000-0000-0000C9170000}"/>
    <cellStyle name="SAPBEXchaText 122" xfId="5980" xr:uid="{00000000-0005-0000-0000-0000CA170000}"/>
    <cellStyle name="SAPBEXchaText 123" xfId="5981" xr:uid="{00000000-0005-0000-0000-0000CB170000}"/>
    <cellStyle name="SAPBEXchaText 124" xfId="5982" xr:uid="{00000000-0005-0000-0000-0000CC170000}"/>
    <cellStyle name="SAPBEXchaText 125" xfId="5983" xr:uid="{00000000-0005-0000-0000-0000CD170000}"/>
    <cellStyle name="SAPBEXchaText 126" xfId="5984" xr:uid="{00000000-0005-0000-0000-0000CE170000}"/>
    <cellStyle name="SAPBEXchaText 127" xfId="5985" xr:uid="{00000000-0005-0000-0000-0000CF170000}"/>
    <cellStyle name="SAPBEXchaText 128" xfId="5986" xr:uid="{00000000-0005-0000-0000-0000D0170000}"/>
    <cellStyle name="SAPBEXchaText 129" xfId="5987" xr:uid="{00000000-0005-0000-0000-0000D1170000}"/>
    <cellStyle name="SAPBEXchaText 13" xfId="5988" xr:uid="{00000000-0005-0000-0000-0000D2170000}"/>
    <cellStyle name="SAPBEXchaText 13 2" xfId="5989" xr:uid="{00000000-0005-0000-0000-0000D3170000}"/>
    <cellStyle name="SAPBEXchaText 13 3" xfId="5990" xr:uid="{00000000-0005-0000-0000-0000D4170000}"/>
    <cellStyle name="SAPBEXchaText 13 4" xfId="5991" xr:uid="{00000000-0005-0000-0000-0000D5170000}"/>
    <cellStyle name="SAPBEXchaText 13 5" xfId="5992" xr:uid="{00000000-0005-0000-0000-0000D6170000}"/>
    <cellStyle name="SAPBEXchaText 13 6" xfId="5993" xr:uid="{00000000-0005-0000-0000-0000D7170000}"/>
    <cellStyle name="SAPBEXchaText 130" xfId="5994" xr:uid="{00000000-0005-0000-0000-0000D8170000}"/>
    <cellStyle name="SAPBEXchaText 131" xfId="5995" xr:uid="{00000000-0005-0000-0000-0000D9170000}"/>
    <cellStyle name="SAPBEXchaText 132" xfId="5996" xr:uid="{00000000-0005-0000-0000-0000DA170000}"/>
    <cellStyle name="SAPBEXchaText 133" xfId="5997" xr:uid="{00000000-0005-0000-0000-0000DB170000}"/>
    <cellStyle name="SAPBEXchaText 134" xfId="5998" xr:uid="{00000000-0005-0000-0000-0000DC170000}"/>
    <cellStyle name="SAPBEXchaText 135" xfId="5999" xr:uid="{00000000-0005-0000-0000-0000DD170000}"/>
    <cellStyle name="SAPBEXchaText 136" xfId="6000" xr:uid="{00000000-0005-0000-0000-0000DE170000}"/>
    <cellStyle name="SAPBEXchaText 137" xfId="6001" xr:uid="{00000000-0005-0000-0000-0000DF170000}"/>
    <cellStyle name="SAPBEXchaText 138" xfId="6002" xr:uid="{00000000-0005-0000-0000-0000E0170000}"/>
    <cellStyle name="SAPBEXchaText 139" xfId="6003" xr:uid="{00000000-0005-0000-0000-0000E1170000}"/>
    <cellStyle name="SAPBEXchaText 14" xfId="6004" xr:uid="{00000000-0005-0000-0000-0000E2170000}"/>
    <cellStyle name="SAPBEXchaText 14 2" xfId="6005" xr:uid="{00000000-0005-0000-0000-0000E3170000}"/>
    <cellStyle name="SAPBEXchaText 14 3" xfId="6006" xr:uid="{00000000-0005-0000-0000-0000E4170000}"/>
    <cellStyle name="SAPBEXchaText 14 4" xfId="6007" xr:uid="{00000000-0005-0000-0000-0000E5170000}"/>
    <cellStyle name="SAPBEXchaText 14 5" xfId="6008" xr:uid="{00000000-0005-0000-0000-0000E6170000}"/>
    <cellStyle name="SAPBEXchaText 14 6" xfId="6009" xr:uid="{00000000-0005-0000-0000-0000E7170000}"/>
    <cellStyle name="SAPBEXchaText 140" xfId="6010" xr:uid="{00000000-0005-0000-0000-0000E8170000}"/>
    <cellStyle name="SAPBEXchaText 141" xfId="6011" xr:uid="{00000000-0005-0000-0000-0000E9170000}"/>
    <cellStyle name="SAPBEXchaText 142" xfId="6012" xr:uid="{00000000-0005-0000-0000-0000EA170000}"/>
    <cellStyle name="SAPBEXchaText 143" xfId="6013" xr:uid="{00000000-0005-0000-0000-0000EB170000}"/>
    <cellStyle name="SAPBEXchaText 144" xfId="6014" xr:uid="{00000000-0005-0000-0000-0000EC170000}"/>
    <cellStyle name="SAPBEXchaText 145" xfId="6015" xr:uid="{00000000-0005-0000-0000-0000ED170000}"/>
    <cellStyle name="SAPBEXchaText 146" xfId="6016" xr:uid="{00000000-0005-0000-0000-0000EE170000}"/>
    <cellStyle name="SAPBEXchaText 147" xfId="6017" xr:uid="{00000000-0005-0000-0000-0000EF170000}"/>
    <cellStyle name="SAPBEXchaText 148" xfId="6018" xr:uid="{00000000-0005-0000-0000-0000F0170000}"/>
    <cellStyle name="SAPBEXchaText 149" xfId="6019" xr:uid="{00000000-0005-0000-0000-0000F1170000}"/>
    <cellStyle name="SAPBEXchaText 15" xfId="6020" xr:uid="{00000000-0005-0000-0000-0000F2170000}"/>
    <cellStyle name="SAPBEXchaText 15 2" xfId="6021" xr:uid="{00000000-0005-0000-0000-0000F3170000}"/>
    <cellStyle name="SAPBEXchaText 15 3" xfId="6022" xr:uid="{00000000-0005-0000-0000-0000F4170000}"/>
    <cellStyle name="SAPBEXchaText 15 4" xfId="6023" xr:uid="{00000000-0005-0000-0000-0000F5170000}"/>
    <cellStyle name="SAPBEXchaText 15 5" xfId="6024" xr:uid="{00000000-0005-0000-0000-0000F6170000}"/>
    <cellStyle name="SAPBEXchaText 15 6" xfId="6025" xr:uid="{00000000-0005-0000-0000-0000F7170000}"/>
    <cellStyle name="SAPBEXchaText 150" xfId="6026" xr:uid="{00000000-0005-0000-0000-0000F8170000}"/>
    <cellStyle name="SAPBEXchaText 151" xfId="6027" xr:uid="{00000000-0005-0000-0000-0000F9170000}"/>
    <cellStyle name="SAPBEXchaText 152" xfId="6028" xr:uid="{00000000-0005-0000-0000-0000FA170000}"/>
    <cellStyle name="SAPBEXchaText 153" xfId="6029" xr:uid="{00000000-0005-0000-0000-0000FB170000}"/>
    <cellStyle name="SAPBEXchaText 154" xfId="6030" xr:uid="{00000000-0005-0000-0000-0000FC170000}"/>
    <cellStyle name="SAPBEXchaText 155" xfId="6031" xr:uid="{00000000-0005-0000-0000-0000FD170000}"/>
    <cellStyle name="SAPBEXchaText 156" xfId="6032" xr:uid="{00000000-0005-0000-0000-0000FE170000}"/>
    <cellStyle name="SAPBEXchaText 157" xfId="6033" xr:uid="{00000000-0005-0000-0000-0000FF170000}"/>
    <cellStyle name="SAPBEXchaText 158" xfId="6034" xr:uid="{00000000-0005-0000-0000-000000180000}"/>
    <cellStyle name="SAPBEXchaText 159" xfId="6035" xr:uid="{00000000-0005-0000-0000-000001180000}"/>
    <cellStyle name="SAPBEXchaText 16" xfId="6036" xr:uid="{00000000-0005-0000-0000-000002180000}"/>
    <cellStyle name="SAPBEXchaText 16 2" xfId="6037" xr:uid="{00000000-0005-0000-0000-000003180000}"/>
    <cellStyle name="SAPBEXchaText 16 3" xfId="6038" xr:uid="{00000000-0005-0000-0000-000004180000}"/>
    <cellStyle name="SAPBEXchaText 16 4" xfId="6039" xr:uid="{00000000-0005-0000-0000-000005180000}"/>
    <cellStyle name="SAPBEXchaText 16 5" xfId="6040" xr:uid="{00000000-0005-0000-0000-000006180000}"/>
    <cellStyle name="SAPBEXchaText 16 6" xfId="6041" xr:uid="{00000000-0005-0000-0000-000007180000}"/>
    <cellStyle name="SAPBEXchaText 160" xfId="6042" xr:uid="{00000000-0005-0000-0000-000008180000}"/>
    <cellStyle name="SAPBEXchaText 161" xfId="6043" xr:uid="{00000000-0005-0000-0000-000009180000}"/>
    <cellStyle name="SAPBEXchaText 162" xfId="6044" xr:uid="{00000000-0005-0000-0000-00000A180000}"/>
    <cellStyle name="SAPBEXchaText 163" xfId="6045" xr:uid="{00000000-0005-0000-0000-00000B180000}"/>
    <cellStyle name="SAPBEXchaText 164" xfId="6046" xr:uid="{00000000-0005-0000-0000-00000C180000}"/>
    <cellStyle name="SAPBEXchaText 165" xfId="6047" xr:uid="{00000000-0005-0000-0000-00000D180000}"/>
    <cellStyle name="SAPBEXchaText 166" xfId="6048" xr:uid="{00000000-0005-0000-0000-00000E180000}"/>
    <cellStyle name="SAPBEXchaText 167" xfId="6049" xr:uid="{00000000-0005-0000-0000-00000F180000}"/>
    <cellStyle name="SAPBEXchaText 168" xfId="6050" xr:uid="{00000000-0005-0000-0000-000010180000}"/>
    <cellStyle name="SAPBEXchaText 169" xfId="6051" xr:uid="{00000000-0005-0000-0000-000011180000}"/>
    <cellStyle name="SAPBEXchaText 17" xfId="6052" xr:uid="{00000000-0005-0000-0000-000012180000}"/>
    <cellStyle name="SAPBEXchaText 17 2" xfId="6053" xr:uid="{00000000-0005-0000-0000-000013180000}"/>
    <cellStyle name="SAPBEXchaText 17 3" xfId="6054" xr:uid="{00000000-0005-0000-0000-000014180000}"/>
    <cellStyle name="SAPBEXchaText 17 4" xfId="6055" xr:uid="{00000000-0005-0000-0000-000015180000}"/>
    <cellStyle name="SAPBEXchaText 17 5" xfId="6056" xr:uid="{00000000-0005-0000-0000-000016180000}"/>
    <cellStyle name="SAPBEXchaText 17 6" xfId="6057" xr:uid="{00000000-0005-0000-0000-000017180000}"/>
    <cellStyle name="SAPBEXchaText 170" xfId="6058" xr:uid="{00000000-0005-0000-0000-000018180000}"/>
    <cellStyle name="SAPBEXchaText 171" xfId="6059" xr:uid="{00000000-0005-0000-0000-000019180000}"/>
    <cellStyle name="SAPBEXchaText 172" xfId="27831" xr:uid="{00000000-0005-0000-0000-00001A180000}"/>
    <cellStyle name="SAPBEXchaText 173" xfId="27906" xr:uid="{00000000-0005-0000-0000-00001B180000}"/>
    <cellStyle name="SAPBEXchaText 173 2" xfId="28044" xr:uid="{00000000-0005-0000-0000-00001C180000}"/>
    <cellStyle name="SAPBEXchaText 174" xfId="27972" xr:uid="{00000000-0005-0000-0000-00001D180000}"/>
    <cellStyle name="SAPBEXchaText 175" xfId="28006" xr:uid="{00000000-0005-0000-0000-00001E180000}"/>
    <cellStyle name="SAPBEXchaText 18" xfId="6060" xr:uid="{00000000-0005-0000-0000-00001F180000}"/>
    <cellStyle name="SAPBEXchaText 18 2" xfId="6061" xr:uid="{00000000-0005-0000-0000-000020180000}"/>
    <cellStyle name="SAPBEXchaText 18 3" xfId="6062" xr:uid="{00000000-0005-0000-0000-000021180000}"/>
    <cellStyle name="SAPBEXchaText 18 4" xfId="6063" xr:uid="{00000000-0005-0000-0000-000022180000}"/>
    <cellStyle name="SAPBEXchaText 18 5" xfId="6064" xr:uid="{00000000-0005-0000-0000-000023180000}"/>
    <cellStyle name="SAPBEXchaText 18 6" xfId="6065" xr:uid="{00000000-0005-0000-0000-000024180000}"/>
    <cellStyle name="SAPBEXchaText 19" xfId="6066" xr:uid="{00000000-0005-0000-0000-000025180000}"/>
    <cellStyle name="SAPBEXchaText 19 2" xfId="6067" xr:uid="{00000000-0005-0000-0000-000026180000}"/>
    <cellStyle name="SAPBEXchaText 19 3" xfId="6068" xr:uid="{00000000-0005-0000-0000-000027180000}"/>
    <cellStyle name="SAPBEXchaText 19 4" xfId="6069" xr:uid="{00000000-0005-0000-0000-000028180000}"/>
    <cellStyle name="SAPBEXchaText 19 5" xfId="6070" xr:uid="{00000000-0005-0000-0000-000029180000}"/>
    <cellStyle name="SAPBEXchaText 19 6" xfId="6071" xr:uid="{00000000-0005-0000-0000-00002A180000}"/>
    <cellStyle name="SAPBEXchaText 2" xfId="6072" xr:uid="{00000000-0005-0000-0000-00002B180000}"/>
    <cellStyle name="SAPBEXchaText 2 10" xfId="6073" xr:uid="{00000000-0005-0000-0000-00002C180000}"/>
    <cellStyle name="SAPBEXchaText 2 10 2" xfId="6074" xr:uid="{00000000-0005-0000-0000-00002D180000}"/>
    <cellStyle name="SAPBEXchaText 2 10 3" xfId="6075" xr:uid="{00000000-0005-0000-0000-00002E180000}"/>
    <cellStyle name="SAPBEXchaText 2 10 4" xfId="6076" xr:uid="{00000000-0005-0000-0000-00002F180000}"/>
    <cellStyle name="SAPBEXchaText 2 11" xfId="6077" xr:uid="{00000000-0005-0000-0000-000030180000}"/>
    <cellStyle name="SAPBEXchaText 2 11 2" xfId="6078" xr:uid="{00000000-0005-0000-0000-000031180000}"/>
    <cellStyle name="SAPBEXchaText 2 11 3" xfId="6079" xr:uid="{00000000-0005-0000-0000-000032180000}"/>
    <cellStyle name="SAPBEXchaText 2 11 4" xfId="6080" xr:uid="{00000000-0005-0000-0000-000033180000}"/>
    <cellStyle name="SAPBEXchaText 2 12" xfId="6081" xr:uid="{00000000-0005-0000-0000-000034180000}"/>
    <cellStyle name="SAPBEXchaText 2 12 2" xfId="6082" xr:uid="{00000000-0005-0000-0000-000035180000}"/>
    <cellStyle name="SAPBEXchaText 2 12 3" xfId="6083" xr:uid="{00000000-0005-0000-0000-000036180000}"/>
    <cellStyle name="SAPBEXchaText 2 12 4" xfId="6084" xr:uid="{00000000-0005-0000-0000-000037180000}"/>
    <cellStyle name="SAPBEXchaText 2 13" xfId="6085" xr:uid="{00000000-0005-0000-0000-000038180000}"/>
    <cellStyle name="SAPBEXchaText 2 13 2" xfId="6086" xr:uid="{00000000-0005-0000-0000-000039180000}"/>
    <cellStyle name="SAPBEXchaText 2 13 3" xfId="6087" xr:uid="{00000000-0005-0000-0000-00003A180000}"/>
    <cellStyle name="SAPBEXchaText 2 13 4" xfId="6088" xr:uid="{00000000-0005-0000-0000-00003B180000}"/>
    <cellStyle name="SAPBEXchaText 2 14" xfId="6089" xr:uid="{00000000-0005-0000-0000-00003C180000}"/>
    <cellStyle name="SAPBEXchaText 2 15" xfId="6090" xr:uid="{00000000-0005-0000-0000-00003D180000}"/>
    <cellStyle name="SAPBEXchaText 2 16" xfId="6091" xr:uid="{00000000-0005-0000-0000-00003E180000}"/>
    <cellStyle name="SAPBEXchaText 2 17" xfId="6092" xr:uid="{00000000-0005-0000-0000-00003F180000}"/>
    <cellStyle name="SAPBEXchaText 2 18" xfId="6093" xr:uid="{00000000-0005-0000-0000-000040180000}"/>
    <cellStyle name="SAPBEXchaText 2 2" xfId="6094" xr:uid="{00000000-0005-0000-0000-000041180000}"/>
    <cellStyle name="SAPBEXchaText 2 2 2" xfId="6095" xr:uid="{00000000-0005-0000-0000-000042180000}"/>
    <cellStyle name="SAPBEXchaText 2 2 2 2" xfId="6096" xr:uid="{00000000-0005-0000-0000-000043180000}"/>
    <cellStyle name="SAPBEXchaText 2 2 2 3" xfId="6097" xr:uid="{00000000-0005-0000-0000-000044180000}"/>
    <cellStyle name="SAPBEXchaText 2 2 2 4" xfId="6098" xr:uid="{00000000-0005-0000-0000-000045180000}"/>
    <cellStyle name="SAPBEXchaText 2 2 2 5" xfId="6099" xr:uid="{00000000-0005-0000-0000-000046180000}"/>
    <cellStyle name="SAPBEXchaText 2 2 2 6" xfId="6100" xr:uid="{00000000-0005-0000-0000-000047180000}"/>
    <cellStyle name="SAPBEXchaText 2 2 3" xfId="6101" xr:uid="{00000000-0005-0000-0000-000048180000}"/>
    <cellStyle name="SAPBEXchaText 2 2 3 2" xfId="6102" xr:uid="{00000000-0005-0000-0000-000049180000}"/>
    <cellStyle name="SAPBEXchaText 2 2 3 3" xfId="6103" xr:uid="{00000000-0005-0000-0000-00004A180000}"/>
    <cellStyle name="SAPBEXchaText 2 2 3 4" xfId="6104" xr:uid="{00000000-0005-0000-0000-00004B180000}"/>
    <cellStyle name="SAPBEXchaText 2 2 3 5" xfId="6105" xr:uid="{00000000-0005-0000-0000-00004C180000}"/>
    <cellStyle name="SAPBEXchaText 2 2 3 6" xfId="6106" xr:uid="{00000000-0005-0000-0000-00004D180000}"/>
    <cellStyle name="SAPBEXchaText 2 2 4" xfId="6107" xr:uid="{00000000-0005-0000-0000-00004E180000}"/>
    <cellStyle name="SAPBEXchaText 2 2 4 2" xfId="6108" xr:uid="{00000000-0005-0000-0000-00004F180000}"/>
    <cellStyle name="SAPBEXchaText 2 2 4 3" xfId="6109" xr:uid="{00000000-0005-0000-0000-000050180000}"/>
    <cellStyle name="SAPBEXchaText 2 2 4 4" xfId="6110" xr:uid="{00000000-0005-0000-0000-000051180000}"/>
    <cellStyle name="SAPBEXchaText 2 2 4 5" xfId="6111" xr:uid="{00000000-0005-0000-0000-000052180000}"/>
    <cellStyle name="SAPBEXchaText 2 2 4 6" xfId="6112" xr:uid="{00000000-0005-0000-0000-000053180000}"/>
    <cellStyle name="SAPBEXchaText 2 2 5" xfId="6113" xr:uid="{00000000-0005-0000-0000-000054180000}"/>
    <cellStyle name="SAPBEXchaText 2 2 5 2" xfId="6114" xr:uid="{00000000-0005-0000-0000-000055180000}"/>
    <cellStyle name="SAPBEXchaText 2 2 5 3" xfId="6115" xr:uid="{00000000-0005-0000-0000-000056180000}"/>
    <cellStyle name="SAPBEXchaText 2 2 5 4" xfId="6116" xr:uid="{00000000-0005-0000-0000-000057180000}"/>
    <cellStyle name="SAPBEXchaText 2 2 5 5" xfId="6117" xr:uid="{00000000-0005-0000-0000-000058180000}"/>
    <cellStyle name="SAPBEXchaText 2 2 5 6" xfId="6118" xr:uid="{00000000-0005-0000-0000-000059180000}"/>
    <cellStyle name="SAPBEXchaText 2 2 6" xfId="6119" xr:uid="{00000000-0005-0000-0000-00005A180000}"/>
    <cellStyle name="SAPBEXchaText 2 2 7" xfId="6120" xr:uid="{00000000-0005-0000-0000-00005B180000}"/>
    <cellStyle name="SAPBEXchaText 2 2 8" xfId="6121" xr:uid="{00000000-0005-0000-0000-00005C180000}"/>
    <cellStyle name="SAPBEXchaText 2 3" xfId="6122" xr:uid="{00000000-0005-0000-0000-00005D180000}"/>
    <cellStyle name="SAPBEXchaText 2 3 2" xfId="6123" xr:uid="{00000000-0005-0000-0000-00005E180000}"/>
    <cellStyle name="SAPBEXchaText 2 3 2 2" xfId="6124" xr:uid="{00000000-0005-0000-0000-00005F180000}"/>
    <cellStyle name="SAPBEXchaText 2 3 2 3" xfId="6125" xr:uid="{00000000-0005-0000-0000-000060180000}"/>
    <cellStyle name="SAPBEXchaText 2 3 2 4" xfId="6126" xr:uid="{00000000-0005-0000-0000-000061180000}"/>
    <cellStyle name="SAPBEXchaText 2 3 2 5" xfId="6127" xr:uid="{00000000-0005-0000-0000-000062180000}"/>
    <cellStyle name="SAPBEXchaText 2 3 2 6" xfId="6128" xr:uid="{00000000-0005-0000-0000-000063180000}"/>
    <cellStyle name="SAPBEXchaText 2 3 3" xfId="6129" xr:uid="{00000000-0005-0000-0000-000064180000}"/>
    <cellStyle name="SAPBEXchaText 2 3 3 2" xfId="6130" xr:uid="{00000000-0005-0000-0000-000065180000}"/>
    <cellStyle name="SAPBEXchaText 2 3 3 3" xfId="6131" xr:uid="{00000000-0005-0000-0000-000066180000}"/>
    <cellStyle name="SAPBEXchaText 2 3 3 4" xfId="6132" xr:uid="{00000000-0005-0000-0000-000067180000}"/>
    <cellStyle name="SAPBEXchaText 2 3 3 5" xfId="6133" xr:uid="{00000000-0005-0000-0000-000068180000}"/>
    <cellStyle name="SAPBEXchaText 2 3 3 6" xfId="6134" xr:uid="{00000000-0005-0000-0000-000069180000}"/>
    <cellStyle name="SAPBEXchaText 2 3 4" xfId="6135" xr:uid="{00000000-0005-0000-0000-00006A180000}"/>
    <cellStyle name="SAPBEXchaText 2 3 4 2" xfId="6136" xr:uid="{00000000-0005-0000-0000-00006B180000}"/>
    <cellStyle name="SAPBEXchaText 2 3 4 3" xfId="6137" xr:uid="{00000000-0005-0000-0000-00006C180000}"/>
    <cellStyle name="SAPBEXchaText 2 3 4 4" xfId="6138" xr:uid="{00000000-0005-0000-0000-00006D180000}"/>
    <cellStyle name="SAPBEXchaText 2 3 4 5" xfId="6139" xr:uid="{00000000-0005-0000-0000-00006E180000}"/>
    <cellStyle name="SAPBEXchaText 2 3 4 6" xfId="6140" xr:uid="{00000000-0005-0000-0000-00006F180000}"/>
    <cellStyle name="SAPBEXchaText 2 3 5" xfId="6141" xr:uid="{00000000-0005-0000-0000-000070180000}"/>
    <cellStyle name="SAPBEXchaText 2 3 5 2" xfId="6142" xr:uid="{00000000-0005-0000-0000-000071180000}"/>
    <cellStyle name="SAPBEXchaText 2 3 5 3" xfId="6143" xr:uid="{00000000-0005-0000-0000-000072180000}"/>
    <cellStyle name="SAPBEXchaText 2 3 5 4" xfId="6144" xr:uid="{00000000-0005-0000-0000-000073180000}"/>
    <cellStyle name="SAPBEXchaText 2 3 5 5" xfId="6145" xr:uid="{00000000-0005-0000-0000-000074180000}"/>
    <cellStyle name="SAPBEXchaText 2 3 5 6" xfId="6146" xr:uid="{00000000-0005-0000-0000-000075180000}"/>
    <cellStyle name="SAPBEXchaText 2 3 6" xfId="6147" xr:uid="{00000000-0005-0000-0000-000076180000}"/>
    <cellStyle name="SAPBEXchaText 2 3 7" xfId="6148" xr:uid="{00000000-0005-0000-0000-000077180000}"/>
    <cellStyle name="SAPBEXchaText 2 3 8" xfId="6149" xr:uid="{00000000-0005-0000-0000-000078180000}"/>
    <cellStyle name="SAPBEXchaText 2 4" xfId="6150" xr:uid="{00000000-0005-0000-0000-000079180000}"/>
    <cellStyle name="SAPBEXchaText 2 4 2" xfId="6151" xr:uid="{00000000-0005-0000-0000-00007A180000}"/>
    <cellStyle name="SAPBEXchaText 2 4 2 2" xfId="6152" xr:uid="{00000000-0005-0000-0000-00007B180000}"/>
    <cellStyle name="SAPBEXchaText 2 4 2 3" xfId="6153" xr:uid="{00000000-0005-0000-0000-00007C180000}"/>
    <cellStyle name="SAPBEXchaText 2 4 2 4" xfId="6154" xr:uid="{00000000-0005-0000-0000-00007D180000}"/>
    <cellStyle name="SAPBEXchaText 2 4 2 5" xfId="6155" xr:uid="{00000000-0005-0000-0000-00007E180000}"/>
    <cellStyle name="SAPBEXchaText 2 4 2 6" xfId="6156" xr:uid="{00000000-0005-0000-0000-00007F180000}"/>
    <cellStyle name="SAPBEXchaText 2 4 3" xfId="6157" xr:uid="{00000000-0005-0000-0000-000080180000}"/>
    <cellStyle name="SAPBEXchaText 2 4 3 2" xfId="6158" xr:uid="{00000000-0005-0000-0000-000081180000}"/>
    <cellStyle name="SAPBEXchaText 2 4 3 3" xfId="6159" xr:uid="{00000000-0005-0000-0000-000082180000}"/>
    <cellStyle name="SAPBEXchaText 2 4 3 4" xfId="6160" xr:uid="{00000000-0005-0000-0000-000083180000}"/>
    <cellStyle name="SAPBEXchaText 2 4 3 5" xfId="6161" xr:uid="{00000000-0005-0000-0000-000084180000}"/>
    <cellStyle name="SAPBEXchaText 2 4 3 6" xfId="6162" xr:uid="{00000000-0005-0000-0000-000085180000}"/>
    <cellStyle name="SAPBEXchaText 2 4 4" xfId="6163" xr:uid="{00000000-0005-0000-0000-000086180000}"/>
    <cellStyle name="SAPBEXchaText 2 4 4 2" xfId="6164" xr:uid="{00000000-0005-0000-0000-000087180000}"/>
    <cellStyle name="SAPBEXchaText 2 4 4 3" xfId="6165" xr:uid="{00000000-0005-0000-0000-000088180000}"/>
    <cellStyle name="SAPBEXchaText 2 4 4 4" xfId="6166" xr:uid="{00000000-0005-0000-0000-000089180000}"/>
    <cellStyle name="SAPBEXchaText 2 4 4 5" xfId="6167" xr:uid="{00000000-0005-0000-0000-00008A180000}"/>
    <cellStyle name="SAPBEXchaText 2 4 4 6" xfId="6168" xr:uid="{00000000-0005-0000-0000-00008B180000}"/>
    <cellStyle name="SAPBEXchaText 2 4 5" xfId="6169" xr:uid="{00000000-0005-0000-0000-00008C180000}"/>
    <cellStyle name="SAPBEXchaText 2 4 5 2" xfId="6170" xr:uid="{00000000-0005-0000-0000-00008D180000}"/>
    <cellStyle name="SAPBEXchaText 2 4 5 3" xfId="6171" xr:uid="{00000000-0005-0000-0000-00008E180000}"/>
    <cellStyle name="SAPBEXchaText 2 4 5 4" xfId="6172" xr:uid="{00000000-0005-0000-0000-00008F180000}"/>
    <cellStyle name="SAPBEXchaText 2 4 5 5" xfId="6173" xr:uid="{00000000-0005-0000-0000-000090180000}"/>
    <cellStyle name="SAPBEXchaText 2 4 5 6" xfId="6174" xr:uid="{00000000-0005-0000-0000-000091180000}"/>
    <cellStyle name="SAPBEXchaText 2 4 6" xfId="6175" xr:uid="{00000000-0005-0000-0000-000092180000}"/>
    <cellStyle name="SAPBEXchaText 2 4 7" xfId="6176" xr:uid="{00000000-0005-0000-0000-000093180000}"/>
    <cellStyle name="SAPBEXchaText 2 4 8" xfId="6177" xr:uid="{00000000-0005-0000-0000-000094180000}"/>
    <cellStyle name="SAPBEXchaText 2 5" xfId="6178" xr:uid="{00000000-0005-0000-0000-000095180000}"/>
    <cellStyle name="SAPBEXchaText 2 5 2" xfId="6179" xr:uid="{00000000-0005-0000-0000-000096180000}"/>
    <cellStyle name="SAPBEXchaText 2 5 3" xfId="6180" xr:uid="{00000000-0005-0000-0000-000097180000}"/>
    <cellStyle name="SAPBEXchaText 2 5 4" xfId="6181" xr:uid="{00000000-0005-0000-0000-000098180000}"/>
    <cellStyle name="SAPBEXchaText 2 6" xfId="6182" xr:uid="{00000000-0005-0000-0000-000099180000}"/>
    <cellStyle name="SAPBEXchaText 2 6 2" xfId="6183" xr:uid="{00000000-0005-0000-0000-00009A180000}"/>
    <cellStyle name="SAPBEXchaText 2 6 3" xfId="6184" xr:uid="{00000000-0005-0000-0000-00009B180000}"/>
    <cellStyle name="SAPBEXchaText 2 6 4" xfId="6185" xr:uid="{00000000-0005-0000-0000-00009C180000}"/>
    <cellStyle name="SAPBEXchaText 2 7" xfId="6186" xr:uid="{00000000-0005-0000-0000-00009D180000}"/>
    <cellStyle name="SAPBEXchaText 2 7 2" xfId="6187" xr:uid="{00000000-0005-0000-0000-00009E180000}"/>
    <cellStyle name="SAPBEXchaText 2 7 3" xfId="6188" xr:uid="{00000000-0005-0000-0000-00009F180000}"/>
    <cellStyle name="SAPBEXchaText 2 7 4" xfId="6189" xr:uid="{00000000-0005-0000-0000-0000A0180000}"/>
    <cellStyle name="SAPBEXchaText 2 8" xfId="6190" xr:uid="{00000000-0005-0000-0000-0000A1180000}"/>
    <cellStyle name="SAPBEXchaText 2 8 2" xfId="6191" xr:uid="{00000000-0005-0000-0000-0000A2180000}"/>
    <cellStyle name="SAPBEXchaText 2 8 3" xfId="6192" xr:uid="{00000000-0005-0000-0000-0000A3180000}"/>
    <cellStyle name="SAPBEXchaText 2 8 4" xfId="6193" xr:uid="{00000000-0005-0000-0000-0000A4180000}"/>
    <cellStyle name="SAPBEXchaText 2 9" xfId="6194" xr:uid="{00000000-0005-0000-0000-0000A5180000}"/>
    <cellStyle name="SAPBEXchaText 2 9 2" xfId="6195" xr:uid="{00000000-0005-0000-0000-0000A6180000}"/>
    <cellStyle name="SAPBEXchaText 2 9 3" xfId="6196" xr:uid="{00000000-0005-0000-0000-0000A7180000}"/>
    <cellStyle name="SAPBEXchaText 2 9 4" xfId="6197" xr:uid="{00000000-0005-0000-0000-0000A8180000}"/>
    <cellStyle name="SAPBEXchaText 2_2009 12 09 Cash flow (2009)" xfId="6198" xr:uid="{00000000-0005-0000-0000-0000A9180000}"/>
    <cellStyle name="SAPBEXchaText 20" xfId="6199" xr:uid="{00000000-0005-0000-0000-0000AA180000}"/>
    <cellStyle name="SAPBEXchaText 20 2" xfId="6200" xr:uid="{00000000-0005-0000-0000-0000AB180000}"/>
    <cellStyle name="SAPBEXchaText 20 3" xfId="6201" xr:uid="{00000000-0005-0000-0000-0000AC180000}"/>
    <cellStyle name="SAPBEXchaText 20 4" xfId="6202" xr:uid="{00000000-0005-0000-0000-0000AD180000}"/>
    <cellStyle name="SAPBEXchaText 20 5" xfId="6203" xr:uid="{00000000-0005-0000-0000-0000AE180000}"/>
    <cellStyle name="SAPBEXchaText 20 6" xfId="6204" xr:uid="{00000000-0005-0000-0000-0000AF180000}"/>
    <cellStyle name="SAPBEXchaText 21" xfId="6205" xr:uid="{00000000-0005-0000-0000-0000B0180000}"/>
    <cellStyle name="SAPBEXchaText 21 2" xfId="6206" xr:uid="{00000000-0005-0000-0000-0000B1180000}"/>
    <cellStyle name="SAPBEXchaText 21 3" xfId="6207" xr:uid="{00000000-0005-0000-0000-0000B2180000}"/>
    <cellStyle name="SAPBEXchaText 21 4" xfId="6208" xr:uid="{00000000-0005-0000-0000-0000B3180000}"/>
    <cellStyle name="SAPBEXchaText 21 5" xfId="6209" xr:uid="{00000000-0005-0000-0000-0000B4180000}"/>
    <cellStyle name="SAPBEXchaText 21 6" xfId="6210" xr:uid="{00000000-0005-0000-0000-0000B5180000}"/>
    <cellStyle name="SAPBEXchaText 22" xfId="6211" xr:uid="{00000000-0005-0000-0000-0000B6180000}"/>
    <cellStyle name="SAPBEXchaText 22 2" xfId="6212" xr:uid="{00000000-0005-0000-0000-0000B7180000}"/>
    <cellStyle name="SAPBEXchaText 22 3" xfId="6213" xr:uid="{00000000-0005-0000-0000-0000B8180000}"/>
    <cellStyle name="SAPBEXchaText 22 4" xfId="6214" xr:uid="{00000000-0005-0000-0000-0000B9180000}"/>
    <cellStyle name="SAPBEXchaText 22 5" xfId="6215" xr:uid="{00000000-0005-0000-0000-0000BA180000}"/>
    <cellStyle name="SAPBEXchaText 22 6" xfId="6216" xr:uid="{00000000-0005-0000-0000-0000BB180000}"/>
    <cellStyle name="SAPBEXchaText 23" xfId="6217" xr:uid="{00000000-0005-0000-0000-0000BC180000}"/>
    <cellStyle name="SAPBEXchaText 23 2" xfId="6218" xr:uid="{00000000-0005-0000-0000-0000BD180000}"/>
    <cellStyle name="SAPBEXchaText 23 3" xfId="6219" xr:uid="{00000000-0005-0000-0000-0000BE180000}"/>
    <cellStyle name="SAPBEXchaText 23 4" xfId="6220" xr:uid="{00000000-0005-0000-0000-0000BF180000}"/>
    <cellStyle name="SAPBEXchaText 23 5" xfId="6221" xr:uid="{00000000-0005-0000-0000-0000C0180000}"/>
    <cellStyle name="SAPBEXchaText 23 6" xfId="6222" xr:uid="{00000000-0005-0000-0000-0000C1180000}"/>
    <cellStyle name="SAPBEXchaText 24" xfId="6223" xr:uid="{00000000-0005-0000-0000-0000C2180000}"/>
    <cellStyle name="SAPBEXchaText 24 2" xfId="6224" xr:uid="{00000000-0005-0000-0000-0000C3180000}"/>
    <cellStyle name="SAPBEXchaText 24 3" xfId="6225" xr:uid="{00000000-0005-0000-0000-0000C4180000}"/>
    <cellStyle name="SAPBEXchaText 24 4" xfId="6226" xr:uid="{00000000-0005-0000-0000-0000C5180000}"/>
    <cellStyle name="SAPBEXchaText 24 5" xfId="6227" xr:uid="{00000000-0005-0000-0000-0000C6180000}"/>
    <cellStyle name="SAPBEXchaText 24 6" xfId="6228" xr:uid="{00000000-0005-0000-0000-0000C7180000}"/>
    <cellStyle name="SAPBEXchaText 25" xfId="6229" xr:uid="{00000000-0005-0000-0000-0000C8180000}"/>
    <cellStyle name="SAPBEXchaText 25 2" xfId="6230" xr:uid="{00000000-0005-0000-0000-0000C9180000}"/>
    <cellStyle name="SAPBEXchaText 25 3" xfId="6231" xr:uid="{00000000-0005-0000-0000-0000CA180000}"/>
    <cellStyle name="SAPBEXchaText 25 4" xfId="6232" xr:uid="{00000000-0005-0000-0000-0000CB180000}"/>
    <cellStyle name="SAPBEXchaText 25 5" xfId="6233" xr:uid="{00000000-0005-0000-0000-0000CC180000}"/>
    <cellStyle name="SAPBEXchaText 25 6" xfId="6234" xr:uid="{00000000-0005-0000-0000-0000CD180000}"/>
    <cellStyle name="SAPBEXchaText 26" xfId="6235" xr:uid="{00000000-0005-0000-0000-0000CE180000}"/>
    <cellStyle name="SAPBEXchaText 26 2" xfId="6236" xr:uid="{00000000-0005-0000-0000-0000CF180000}"/>
    <cellStyle name="SAPBEXchaText 26 3" xfId="6237" xr:uid="{00000000-0005-0000-0000-0000D0180000}"/>
    <cellStyle name="SAPBEXchaText 26 4" xfId="6238" xr:uid="{00000000-0005-0000-0000-0000D1180000}"/>
    <cellStyle name="SAPBEXchaText 26 5" xfId="6239" xr:uid="{00000000-0005-0000-0000-0000D2180000}"/>
    <cellStyle name="SAPBEXchaText 26 6" xfId="6240" xr:uid="{00000000-0005-0000-0000-0000D3180000}"/>
    <cellStyle name="SAPBEXchaText 27" xfId="6241" xr:uid="{00000000-0005-0000-0000-0000D4180000}"/>
    <cellStyle name="SAPBEXchaText 27 2" xfId="6242" xr:uid="{00000000-0005-0000-0000-0000D5180000}"/>
    <cellStyle name="SAPBEXchaText 27 3" xfId="6243" xr:uid="{00000000-0005-0000-0000-0000D6180000}"/>
    <cellStyle name="SAPBEXchaText 27 4" xfId="6244" xr:uid="{00000000-0005-0000-0000-0000D7180000}"/>
    <cellStyle name="SAPBEXchaText 27 5" xfId="6245" xr:uid="{00000000-0005-0000-0000-0000D8180000}"/>
    <cellStyle name="SAPBEXchaText 27 6" xfId="6246" xr:uid="{00000000-0005-0000-0000-0000D9180000}"/>
    <cellStyle name="SAPBEXchaText 28" xfId="6247" xr:uid="{00000000-0005-0000-0000-0000DA180000}"/>
    <cellStyle name="SAPBEXchaText 28 2" xfId="6248" xr:uid="{00000000-0005-0000-0000-0000DB180000}"/>
    <cellStyle name="SAPBEXchaText 28 3" xfId="6249" xr:uid="{00000000-0005-0000-0000-0000DC180000}"/>
    <cellStyle name="SAPBEXchaText 28 4" xfId="6250" xr:uid="{00000000-0005-0000-0000-0000DD180000}"/>
    <cellStyle name="SAPBEXchaText 28 5" xfId="6251" xr:uid="{00000000-0005-0000-0000-0000DE180000}"/>
    <cellStyle name="SAPBEXchaText 28 6" xfId="6252" xr:uid="{00000000-0005-0000-0000-0000DF180000}"/>
    <cellStyle name="SAPBEXchaText 29" xfId="6253" xr:uid="{00000000-0005-0000-0000-0000E0180000}"/>
    <cellStyle name="SAPBEXchaText 29 2" xfId="6254" xr:uid="{00000000-0005-0000-0000-0000E1180000}"/>
    <cellStyle name="SAPBEXchaText 29 3" xfId="6255" xr:uid="{00000000-0005-0000-0000-0000E2180000}"/>
    <cellStyle name="SAPBEXchaText 29 4" xfId="6256" xr:uid="{00000000-0005-0000-0000-0000E3180000}"/>
    <cellStyle name="SAPBEXchaText 29 5" xfId="6257" xr:uid="{00000000-0005-0000-0000-0000E4180000}"/>
    <cellStyle name="SAPBEXchaText 29 6" xfId="6258" xr:uid="{00000000-0005-0000-0000-0000E5180000}"/>
    <cellStyle name="SAPBEXchaText 3" xfId="6259" xr:uid="{00000000-0005-0000-0000-0000E6180000}"/>
    <cellStyle name="SAPBEXchaText 3 10" xfId="6260" xr:uid="{00000000-0005-0000-0000-0000E7180000}"/>
    <cellStyle name="SAPBEXchaText 3 11" xfId="6261" xr:uid="{00000000-0005-0000-0000-0000E8180000}"/>
    <cellStyle name="SAPBEXchaText 3 12" xfId="6262" xr:uid="{00000000-0005-0000-0000-0000E9180000}"/>
    <cellStyle name="SAPBEXchaText 3 2" xfId="6263" xr:uid="{00000000-0005-0000-0000-0000EA180000}"/>
    <cellStyle name="SAPBEXchaText 3 2 2" xfId="6264" xr:uid="{00000000-0005-0000-0000-0000EB180000}"/>
    <cellStyle name="SAPBEXchaText 3 2 2 2" xfId="6265" xr:uid="{00000000-0005-0000-0000-0000EC180000}"/>
    <cellStyle name="SAPBEXchaText 3 2 2 3" xfId="6266" xr:uid="{00000000-0005-0000-0000-0000ED180000}"/>
    <cellStyle name="SAPBEXchaText 3 2 2 4" xfId="6267" xr:uid="{00000000-0005-0000-0000-0000EE180000}"/>
    <cellStyle name="SAPBEXchaText 3 2 2 5" xfId="6268" xr:uid="{00000000-0005-0000-0000-0000EF180000}"/>
    <cellStyle name="SAPBEXchaText 3 2 2 6" xfId="6269" xr:uid="{00000000-0005-0000-0000-0000F0180000}"/>
    <cellStyle name="SAPBEXchaText 3 2 3" xfId="6270" xr:uid="{00000000-0005-0000-0000-0000F1180000}"/>
    <cellStyle name="SAPBEXchaText 3 2 3 2" xfId="6271" xr:uid="{00000000-0005-0000-0000-0000F2180000}"/>
    <cellStyle name="SAPBEXchaText 3 2 3 3" xfId="6272" xr:uid="{00000000-0005-0000-0000-0000F3180000}"/>
    <cellStyle name="SAPBEXchaText 3 2 3 4" xfId="6273" xr:uid="{00000000-0005-0000-0000-0000F4180000}"/>
    <cellStyle name="SAPBEXchaText 3 2 3 5" xfId="6274" xr:uid="{00000000-0005-0000-0000-0000F5180000}"/>
    <cellStyle name="SAPBEXchaText 3 2 3 6" xfId="6275" xr:uid="{00000000-0005-0000-0000-0000F6180000}"/>
    <cellStyle name="SAPBEXchaText 3 2 4" xfId="6276" xr:uid="{00000000-0005-0000-0000-0000F7180000}"/>
    <cellStyle name="SAPBEXchaText 3 2 4 2" xfId="6277" xr:uid="{00000000-0005-0000-0000-0000F8180000}"/>
    <cellStyle name="SAPBEXchaText 3 2 4 3" xfId="6278" xr:uid="{00000000-0005-0000-0000-0000F9180000}"/>
    <cellStyle name="SAPBEXchaText 3 2 4 4" xfId="6279" xr:uid="{00000000-0005-0000-0000-0000FA180000}"/>
    <cellStyle name="SAPBEXchaText 3 2 4 5" xfId="6280" xr:uid="{00000000-0005-0000-0000-0000FB180000}"/>
    <cellStyle name="SAPBEXchaText 3 2 4 6" xfId="6281" xr:uid="{00000000-0005-0000-0000-0000FC180000}"/>
    <cellStyle name="SAPBEXchaText 3 2 5" xfId="6282" xr:uid="{00000000-0005-0000-0000-0000FD180000}"/>
    <cellStyle name="SAPBEXchaText 3 2 5 2" xfId="6283" xr:uid="{00000000-0005-0000-0000-0000FE180000}"/>
    <cellStyle name="SAPBEXchaText 3 2 5 3" xfId="6284" xr:uid="{00000000-0005-0000-0000-0000FF180000}"/>
    <cellStyle name="SAPBEXchaText 3 2 5 4" xfId="6285" xr:uid="{00000000-0005-0000-0000-000000190000}"/>
    <cellStyle name="SAPBEXchaText 3 2 5 5" xfId="6286" xr:uid="{00000000-0005-0000-0000-000001190000}"/>
    <cellStyle name="SAPBEXchaText 3 2 5 6" xfId="6287" xr:uid="{00000000-0005-0000-0000-000002190000}"/>
    <cellStyle name="SAPBEXchaText 3 2 6" xfId="6288" xr:uid="{00000000-0005-0000-0000-000003190000}"/>
    <cellStyle name="SAPBEXchaText 3 2 7" xfId="6289" xr:uid="{00000000-0005-0000-0000-000004190000}"/>
    <cellStyle name="SAPBEXchaText 3 2 8" xfId="6290" xr:uid="{00000000-0005-0000-0000-000005190000}"/>
    <cellStyle name="SAPBEXchaText 3 3" xfId="6291" xr:uid="{00000000-0005-0000-0000-000006190000}"/>
    <cellStyle name="SAPBEXchaText 3 3 2" xfId="6292" xr:uid="{00000000-0005-0000-0000-000007190000}"/>
    <cellStyle name="SAPBEXchaText 3 3 3" xfId="6293" xr:uid="{00000000-0005-0000-0000-000008190000}"/>
    <cellStyle name="SAPBEXchaText 3 3 4" xfId="6294" xr:uid="{00000000-0005-0000-0000-000009190000}"/>
    <cellStyle name="SAPBEXchaText 3 3 5" xfId="6295" xr:uid="{00000000-0005-0000-0000-00000A190000}"/>
    <cellStyle name="SAPBEXchaText 3 3 6" xfId="6296" xr:uid="{00000000-0005-0000-0000-00000B190000}"/>
    <cellStyle name="SAPBEXchaText 3 4" xfId="6297" xr:uid="{00000000-0005-0000-0000-00000C190000}"/>
    <cellStyle name="SAPBEXchaText 3 4 2" xfId="6298" xr:uid="{00000000-0005-0000-0000-00000D190000}"/>
    <cellStyle name="SAPBEXchaText 3 4 3" xfId="6299" xr:uid="{00000000-0005-0000-0000-00000E190000}"/>
    <cellStyle name="SAPBEXchaText 3 4 4" xfId="6300" xr:uid="{00000000-0005-0000-0000-00000F190000}"/>
    <cellStyle name="SAPBEXchaText 3 4 5" xfId="6301" xr:uid="{00000000-0005-0000-0000-000010190000}"/>
    <cellStyle name="SAPBEXchaText 3 4 6" xfId="6302" xr:uid="{00000000-0005-0000-0000-000011190000}"/>
    <cellStyle name="SAPBEXchaText 3 5" xfId="6303" xr:uid="{00000000-0005-0000-0000-000012190000}"/>
    <cellStyle name="SAPBEXchaText 3 5 2" xfId="6304" xr:uid="{00000000-0005-0000-0000-000013190000}"/>
    <cellStyle name="SAPBEXchaText 3 5 3" xfId="6305" xr:uid="{00000000-0005-0000-0000-000014190000}"/>
    <cellStyle name="SAPBEXchaText 3 5 4" xfId="6306" xr:uid="{00000000-0005-0000-0000-000015190000}"/>
    <cellStyle name="SAPBEXchaText 3 6" xfId="6307" xr:uid="{00000000-0005-0000-0000-000016190000}"/>
    <cellStyle name="SAPBEXchaText 3 6 2" xfId="6308" xr:uid="{00000000-0005-0000-0000-000017190000}"/>
    <cellStyle name="SAPBEXchaText 3 6 3" xfId="6309" xr:uid="{00000000-0005-0000-0000-000018190000}"/>
    <cellStyle name="SAPBEXchaText 3 6 4" xfId="6310" xr:uid="{00000000-0005-0000-0000-000019190000}"/>
    <cellStyle name="SAPBEXchaText 3 7" xfId="6311" xr:uid="{00000000-0005-0000-0000-00001A190000}"/>
    <cellStyle name="SAPBEXchaText 3 7 2" xfId="6312" xr:uid="{00000000-0005-0000-0000-00001B190000}"/>
    <cellStyle name="SAPBEXchaText 3 7 3" xfId="6313" xr:uid="{00000000-0005-0000-0000-00001C190000}"/>
    <cellStyle name="SAPBEXchaText 3 7 4" xfId="6314" xr:uid="{00000000-0005-0000-0000-00001D190000}"/>
    <cellStyle name="SAPBEXchaText 3 8" xfId="6315" xr:uid="{00000000-0005-0000-0000-00001E190000}"/>
    <cellStyle name="SAPBEXchaText 3 9" xfId="6316" xr:uid="{00000000-0005-0000-0000-00001F190000}"/>
    <cellStyle name="SAPBEXchaText 30" xfId="6317" xr:uid="{00000000-0005-0000-0000-000020190000}"/>
    <cellStyle name="SAPBEXchaText 30 2" xfId="6318" xr:uid="{00000000-0005-0000-0000-000021190000}"/>
    <cellStyle name="SAPBEXchaText 30 3" xfId="6319" xr:uid="{00000000-0005-0000-0000-000022190000}"/>
    <cellStyle name="SAPBEXchaText 30 4" xfId="6320" xr:uid="{00000000-0005-0000-0000-000023190000}"/>
    <cellStyle name="SAPBEXchaText 30 5" xfId="6321" xr:uid="{00000000-0005-0000-0000-000024190000}"/>
    <cellStyle name="SAPBEXchaText 30 6" xfId="6322" xr:uid="{00000000-0005-0000-0000-000025190000}"/>
    <cellStyle name="SAPBEXchaText 31" xfId="6323" xr:uid="{00000000-0005-0000-0000-000026190000}"/>
    <cellStyle name="SAPBEXchaText 31 2" xfId="6324" xr:uid="{00000000-0005-0000-0000-000027190000}"/>
    <cellStyle name="SAPBEXchaText 31 3" xfId="6325" xr:uid="{00000000-0005-0000-0000-000028190000}"/>
    <cellStyle name="SAPBEXchaText 31 4" xfId="6326" xr:uid="{00000000-0005-0000-0000-000029190000}"/>
    <cellStyle name="SAPBEXchaText 31 5" xfId="6327" xr:uid="{00000000-0005-0000-0000-00002A190000}"/>
    <cellStyle name="SAPBEXchaText 31 6" xfId="6328" xr:uid="{00000000-0005-0000-0000-00002B190000}"/>
    <cellStyle name="SAPBEXchaText 32" xfId="6329" xr:uid="{00000000-0005-0000-0000-00002C190000}"/>
    <cellStyle name="SAPBEXchaText 32 2" xfId="6330" xr:uid="{00000000-0005-0000-0000-00002D190000}"/>
    <cellStyle name="SAPBEXchaText 32 3" xfId="6331" xr:uid="{00000000-0005-0000-0000-00002E190000}"/>
    <cellStyle name="SAPBEXchaText 32 4" xfId="6332" xr:uid="{00000000-0005-0000-0000-00002F190000}"/>
    <cellStyle name="SAPBEXchaText 32 5" xfId="6333" xr:uid="{00000000-0005-0000-0000-000030190000}"/>
    <cellStyle name="SAPBEXchaText 32 6" xfId="6334" xr:uid="{00000000-0005-0000-0000-000031190000}"/>
    <cellStyle name="SAPBEXchaText 33" xfId="6335" xr:uid="{00000000-0005-0000-0000-000032190000}"/>
    <cellStyle name="SAPBEXchaText 34" xfId="6336" xr:uid="{00000000-0005-0000-0000-000033190000}"/>
    <cellStyle name="SAPBEXchaText 35" xfId="6337" xr:uid="{00000000-0005-0000-0000-000034190000}"/>
    <cellStyle name="SAPBEXchaText 36" xfId="6338" xr:uid="{00000000-0005-0000-0000-000035190000}"/>
    <cellStyle name="SAPBEXchaText 37" xfId="6339" xr:uid="{00000000-0005-0000-0000-000036190000}"/>
    <cellStyle name="SAPBEXchaText 38" xfId="6340" xr:uid="{00000000-0005-0000-0000-000037190000}"/>
    <cellStyle name="SAPBEXchaText 39" xfId="6341" xr:uid="{00000000-0005-0000-0000-000038190000}"/>
    <cellStyle name="SAPBEXchaText 4" xfId="6342" xr:uid="{00000000-0005-0000-0000-000039190000}"/>
    <cellStyle name="SAPBEXchaText 4 2" xfId="6343" xr:uid="{00000000-0005-0000-0000-00003A190000}"/>
    <cellStyle name="SAPBEXchaText 4 3" xfId="6344" xr:uid="{00000000-0005-0000-0000-00003B190000}"/>
    <cellStyle name="SAPBEXchaText 4 4" xfId="6345" xr:uid="{00000000-0005-0000-0000-00003C190000}"/>
    <cellStyle name="SAPBEXchaText 4 5" xfId="6346" xr:uid="{00000000-0005-0000-0000-00003D190000}"/>
    <cellStyle name="SAPBEXchaText 4 6" xfId="6347" xr:uid="{00000000-0005-0000-0000-00003E190000}"/>
    <cellStyle name="SAPBEXchaText 40" xfId="6348" xr:uid="{00000000-0005-0000-0000-00003F190000}"/>
    <cellStyle name="SAPBEXchaText 41" xfId="6349" xr:uid="{00000000-0005-0000-0000-000040190000}"/>
    <cellStyle name="SAPBEXchaText 42" xfId="6350" xr:uid="{00000000-0005-0000-0000-000041190000}"/>
    <cellStyle name="SAPBEXchaText 43" xfId="6351" xr:uid="{00000000-0005-0000-0000-000042190000}"/>
    <cellStyle name="SAPBEXchaText 44" xfId="6352" xr:uid="{00000000-0005-0000-0000-000043190000}"/>
    <cellStyle name="SAPBEXchaText 45" xfId="6353" xr:uid="{00000000-0005-0000-0000-000044190000}"/>
    <cellStyle name="SAPBEXchaText 46" xfId="6354" xr:uid="{00000000-0005-0000-0000-000045190000}"/>
    <cellStyle name="SAPBEXchaText 47" xfId="6355" xr:uid="{00000000-0005-0000-0000-000046190000}"/>
    <cellStyle name="SAPBEXchaText 48" xfId="6356" xr:uid="{00000000-0005-0000-0000-000047190000}"/>
    <cellStyle name="SAPBEXchaText 49" xfId="6357" xr:uid="{00000000-0005-0000-0000-000048190000}"/>
    <cellStyle name="SAPBEXchaText 5" xfId="6358" xr:uid="{00000000-0005-0000-0000-000049190000}"/>
    <cellStyle name="SAPBEXchaText 5 2" xfId="6359" xr:uid="{00000000-0005-0000-0000-00004A190000}"/>
    <cellStyle name="SAPBEXchaText 5 3" xfId="6360" xr:uid="{00000000-0005-0000-0000-00004B190000}"/>
    <cellStyle name="SAPBEXchaText 5 4" xfId="6361" xr:uid="{00000000-0005-0000-0000-00004C190000}"/>
    <cellStyle name="SAPBEXchaText 5 5" xfId="6362" xr:uid="{00000000-0005-0000-0000-00004D190000}"/>
    <cellStyle name="SAPBEXchaText 5 6" xfId="6363" xr:uid="{00000000-0005-0000-0000-00004E190000}"/>
    <cellStyle name="SAPBEXchaText 50" xfId="6364" xr:uid="{00000000-0005-0000-0000-00004F190000}"/>
    <cellStyle name="SAPBEXchaText 51" xfId="6365" xr:uid="{00000000-0005-0000-0000-000050190000}"/>
    <cellStyle name="SAPBEXchaText 52" xfId="6366" xr:uid="{00000000-0005-0000-0000-000051190000}"/>
    <cellStyle name="SAPBEXchaText 53" xfId="6367" xr:uid="{00000000-0005-0000-0000-000052190000}"/>
    <cellStyle name="SAPBEXchaText 54" xfId="6368" xr:uid="{00000000-0005-0000-0000-000053190000}"/>
    <cellStyle name="SAPBEXchaText 55" xfId="6369" xr:uid="{00000000-0005-0000-0000-000054190000}"/>
    <cellStyle name="SAPBEXchaText 56" xfId="6370" xr:uid="{00000000-0005-0000-0000-000055190000}"/>
    <cellStyle name="SAPBEXchaText 57" xfId="6371" xr:uid="{00000000-0005-0000-0000-000056190000}"/>
    <cellStyle name="SAPBEXchaText 58" xfId="6372" xr:uid="{00000000-0005-0000-0000-000057190000}"/>
    <cellStyle name="SAPBEXchaText 59" xfId="6373" xr:uid="{00000000-0005-0000-0000-000058190000}"/>
    <cellStyle name="SAPBEXchaText 6" xfId="6374" xr:uid="{00000000-0005-0000-0000-000059190000}"/>
    <cellStyle name="SAPBEXchaText 6 10" xfId="6375" xr:uid="{00000000-0005-0000-0000-00005A190000}"/>
    <cellStyle name="SAPBEXchaText 6 2" xfId="6376" xr:uid="{00000000-0005-0000-0000-00005B190000}"/>
    <cellStyle name="SAPBEXchaText 6 2 2" xfId="6377" xr:uid="{00000000-0005-0000-0000-00005C190000}"/>
    <cellStyle name="SAPBEXchaText 6 2 3" xfId="6378" xr:uid="{00000000-0005-0000-0000-00005D190000}"/>
    <cellStyle name="SAPBEXchaText 6 2 4" xfId="6379" xr:uid="{00000000-0005-0000-0000-00005E190000}"/>
    <cellStyle name="SAPBEXchaText 6 3" xfId="6380" xr:uid="{00000000-0005-0000-0000-00005F190000}"/>
    <cellStyle name="SAPBEXchaText 6 3 2" xfId="6381" xr:uid="{00000000-0005-0000-0000-000060190000}"/>
    <cellStyle name="SAPBEXchaText 6 3 3" xfId="6382" xr:uid="{00000000-0005-0000-0000-000061190000}"/>
    <cellStyle name="SAPBEXchaText 6 3 4" xfId="6383" xr:uid="{00000000-0005-0000-0000-000062190000}"/>
    <cellStyle name="SAPBEXchaText 6 4" xfId="6384" xr:uid="{00000000-0005-0000-0000-000063190000}"/>
    <cellStyle name="SAPBEXchaText 6 4 2" xfId="6385" xr:uid="{00000000-0005-0000-0000-000064190000}"/>
    <cellStyle name="SAPBEXchaText 6 4 3" xfId="6386" xr:uid="{00000000-0005-0000-0000-000065190000}"/>
    <cellStyle name="SAPBEXchaText 6 4 4" xfId="6387" xr:uid="{00000000-0005-0000-0000-000066190000}"/>
    <cellStyle name="SAPBEXchaText 6 5" xfId="6388" xr:uid="{00000000-0005-0000-0000-000067190000}"/>
    <cellStyle name="SAPBEXchaText 6 5 2" xfId="6389" xr:uid="{00000000-0005-0000-0000-000068190000}"/>
    <cellStyle name="SAPBEXchaText 6 5 3" xfId="6390" xr:uid="{00000000-0005-0000-0000-000069190000}"/>
    <cellStyle name="SAPBEXchaText 6 5 4" xfId="6391" xr:uid="{00000000-0005-0000-0000-00006A190000}"/>
    <cellStyle name="SAPBEXchaText 6 6" xfId="6392" xr:uid="{00000000-0005-0000-0000-00006B190000}"/>
    <cellStyle name="SAPBEXchaText 6 7" xfId="6393" xr:uid="{00000000-0005-0000-0000-00006C190000}"/>
    <cellStyle name="SAPBEXchaText 6 8" xfId="6394" xr:uid="{00000000-0005-0000-0000-00006D190000}"/>
    <cellStyle name="SAPBEXchaText 6 9" xfId="6395" xr:uid="{00000000-0005-0000-0000-00006E190000}"/>
    <cellStyle name="SAPBEXchaText 60" xfId="6396" xr:uid="{00000000-0005-0000-0000-00006F190000}"/>
    <cellStyle name="SAPBEXchaText 61" xfId="6397" xr:uid="{00000000-0005-0000-0000-000070190000}"/>
    <cellStyle name="SAPBEXchaText 62" xfId="6398" xr:uid="{00000000-0005-0000-0000-000071190000}"/>
    <cellStyle name="SAPBEXchaText 63" xfId="6399" xr:uid="{00000000-0005-0000-0000-000072190000}"/>
    <cellStyle name="SAPBEXchaText 64" xfId="6400" xr:uid="{00000000-0005-0000-0000-000073190000}"/>
    <cellStyle name="SAPBEXchaText 65" xfId="6401" xr:uid="{00000000-0005-0000-0000-000074190000}"/>
    <cellStyle name="SAPBEXchaText 66" xfId="6402" xr:uid="{00000000-0005-0000-0000-000075190000}"/>
    <cellStyle name="SAPBEXchaText 67" xfId="6403" xr:uid="{00000000-0005-0000-0000-000076190000}"/>
    <cellStyle name="SAPBEXchaText 68" xfId="6404" xr:uid="{00000000-0005-0000-0000-000077190000}"/>
    <cellStyle name="SAPBEXchaText 69" xfId="6405" xr:uid="{00000000-0005-0000-0000-000078190000}"/>
    <cellStyle name="SAPBEXchaText 7" xfId="6406" xr:uid="{00000000-0005-0000-0000-000079190000}"/>
    <cellStyle name="SAPBEXchaText 7 10" xfId="6407" xr:uid="{00000000-0005-0000-0000-00007A190000}"/>
    <cellStyle name="SAPBEXchaText 7 2" xfId="6408" xr:uid="{00000000-0005-0000-0000-00007B190000}"/>
    <cellStyle name="SAPBEXchaText 7 2 2" xfId="6409" xr:uid="{00000000-0005-0000-0000-00007C190000}"/>
    <cellStyle name="SAPBEXchaText 7 2 3" xfId="6410" xr:uid="{00000000-0005-0000-0000-00007D190000}"/>
    <cellStyle name="SAPBEXchaText 7 2 4" xfId="6411" xr:uid="{00000000-0005-0000-0000-00007E190000}"/>
    <cellStyle name="SAPBEXchaText 7 3" xfId="6412" xr:uid="{00000000-0005-0000-0000-00007F190000}"/>
    <cellStyle name="SAPBEXchaText 7 3 2" xfId="6413" xr:uid="{00000000-0005-0000-0000-000080190000}"/>
    <cellStyle name="SAPBEXchaText 7 3 3" xfId="6414" xr:uid="{00000000-0005-0000-0000-000081190000}"/>
    <cellStyle name="SAPBEXchaText 7 3 4" xfId="6415" xr:uid="{00000000-0005-0000-0000-000082190000}"/>
    <cellStyle name="SAPBEXchaText 7 4" xfId="6416" xr:uid="{00000000-0005-0000-0000-000083190000}"/>
    <cellStyle name="SAPBEXchaText 7 4 2" xfId="6417" xr:uid="{00000000-0005-0000-0000-000084190000}"/>
    <cellStyle name="SAPBEXchaText 7 4 3" xfId="6418" xr:uid="{00000000-0005-0000-0000-000085190000}"/>
    <cellStyle name="SAPBEXchaText 7 4 4" xfId="6419" xr:uid="{00000000-0005-0000-0000-000086190000}"/>
    <cellStyle name="SAPBEXchaText 7 5" xfId="6420" xr:uid="{00000000-0005-0000-0000-000087190000}"/>
    <cellStyle name="SAPBEXchaText 7 5 2" xfId="6421" xr:uid="{00000000-0005-0000-0000-000088190000}"/>
    <cellStyle name="SAPBEXchaText 7 5 3" xfId="6422" xr:uid="{00000000-0005-0000-0000-000089190000}"/>
    <cellStyle name="SAPBEXchaText 7 5 4" xfId="6423" xr:uid="{00000000-0005-0000-0000-00008A190000}"/>
    <cellStyle name="SAPBEXchaText 7 6" xfId="6424" xr:uid="{00000000-0005-0000-0000-00008B190000}"/>
    <cellStyle name="SAPBEXchaText 7 7" xfId="6425" xr:uid="{00000000-0005-0000-0000-00008C190000}"/>
    <cellStyle name="SAPBEXchaText 7 8" xfId="6426" xr:uid="{00000000-0005-0000-0000-00008D190000}"/>
    <cellStyle name="SAPBEXchaText 7 9" xfId="6427" xr:uid="{00000000-0005-0000-0000-00008E190000}"/>
    <cellStyle name="SAPBEXchaText 70" xfId="6428" xr:uid="{00000000-0005-0000-0000-00008F190000}"/>
    <cellStyle name="SAPBEXchaText 71" xfId="6429" xr:uid="{00000000-0005-0000-0000-000090190000}"/>
    <cellStyle name="SAPBEXchaText 72" xfId="6430" xr:uid="{00000000-0005-0000-0000-000091190000}"/>
    <cellStyle name="SAPBEXchaText 73" xfId="6431" xr:uid="{00000000-0005-0000-0000-000092190000}"/>
    <cellStyle name="SAPBEXchaText 74" xfId="6432" xr:uid="{00000000-0005-0000-0000-000093190000}"/>
    <cellStyle name="SAPBEXchaText 75" xfId="6433" xr:uid="{00000000-0005-0000-0000-000094190000}"/>
    <cellStyle name="SAPBEXchaText 76" xfId="6434" xr:uid="{00000000-0005-0000-0000-000095190000}"/>
    <cellStyle name="SAPBEXchaText 77" xfId="6435" xr:uid="{00000000-0005-0000-0000-000096190000}"/>
    <cellStyle name="SAPBEXchaText 78" xfId="6436" xr:uid="{00000000-0005-0000-0000-000097190000}"/>
    <cellStyle name="SAPBEXchaText 79" xfId="6437" xr:uid="{00000000-0005-0000-0000-000098190000}"/>
    <cellStyle name="SAPBEXchaText 8" xfId="6438" xr:uid="{00000000-0005-0000-0000-000099190000}"/>
    <cellStyle name="SAPBEXchaText 8 2" xfId="6439" xr:uid="{00000000-0005-0000-0000-00009A190000}"/>
    <cellStyle name="SAPBEXchaText 8 3" xfId="6440" xr:uid="{00000000-0005-0000-0000-00009B190000}"/>
    <cellStyle name="SAPBEXchaText 8 4" xfId="6441" xr:uid="{00000000-0005-0000-0000-00009C190000}"/>
    <cellStyle name="SAPBEXchaText 8 5" xfId="6442" xr:uid="{00000000-0005-0000-0000-00009D190000}"/>
    <cellStyle name="SAPBEXchaText 8 6" xfId="6443" xr:uid="{00000000-0005-0000-0000-00009E190000}"/>
    <cellStyle name="SAPBEXchaText 80" xfId="6444" xr:uid="{00000000-0005-0000-0000-00009F190000}"/>
    <cellStyle name="SAPBEXchaText 81" xfId="6445" xr:uid="{00000000-0005-0000-0000-0000A0190000}"/>
    <cellStyle name="SAPBEXchaText 82" xfId="6446" xr:uid="{00000000-0005-0000-0000-0000A1190000}"/>
    <cellStyle name="SAPBEXchaText 83" xfId="6447" xr:uid="{00000000-0005-0000-0000-0000A2190000}"/>
    <cellStyle name="SAPBEXchaText 84" xfId="6448" xr:uid="{00000000-0005-0000-0000-0000A3190000}"/>
    <cellStyle name="SAPBEXchaText 85" xfId="6449" xr:uid="{00000000-0005-0000-0000-0000A4190000}"/>
    <cellStyle name="SAPBEXchaText 86" xfId="6450" xr:uid="{00000000-0005-0000-0000-0000A5190000}"/>
    <cellStyle name="SAPBEXchaText 87" xfId="6451" xr:uid="{00000000-0005-0000-0000-0000A6190000}"/>
    <cellStyle name="SAPBEXchaText 88" xfId="6452" xr:uid="{00000000-0005-0000-0000-0000A7190000}"/>
    <cellStyle name="SAPBEXchaText 89" xfId="6453" xr:uid="{00000000-0005-0000-0000-0000A8190000}"/>
    <cellStyle name="SAPBEXchaText 9" xfId="6454" xr:uid="{00000000-0005-0000-0000-0000A9190000}"/>
    <cellStyle name="SAPBEXchaText 9 2" xfId="6455" xr:uid="{00000000-0005-0000-0000-0000AA190000}"/>
    <cellStyle name="SAPBEXchaText 9 3" xfId="6456" xr:uid="{00000000-0005-0000-0000-0000AB190000}"/>
    <cellStyle name="SAPBEXchaText 9 4" xfId="6457" xr:uid="{00000000-0005-0000-0000-0000AC190000}"/>
    <cellStyle name="SAPBEXchaText 9 5" xfId="6458" xr:uid="{00000000-0005-0000-0000-0000AD190000}"/>
    <cellStyle name="SAPBEXchaText 9 6" xfId="6459" xr:uid="{00000000-0005-0000-0000-0000AE190000}"/>
    <cellStyle name="SAPBEXchaText 90" xfId="6460" xr:uid="{00000000-0005-0000-0000-0000AF190000}"/>
    <cellStyle name="SAPBEXchaText 91" xfId="6461" xr:uid="{00000000-0005-0000-0000-0000B0190000}"/>
    <cellStyle name="SAPBEXchaText 92" xfId="6462" xr:uid="{00000000-0005-0000-0000-0000B1190000}"/>
    <cellStyle name="SAPBEXchaText 93" xfId="6463" xr:uid="{00000000-0005-0000-0000-0000B2190000}"/>
    <cellStyle name="SAPBEXchaText 94" xfId="6464" xr:uid="{00000000-0005-0000-0000-0000B3190000}"/>
    <cellStyle name="SAPBEXchaText 95" xfId="6465" xr:uid="{00000000-0005-0000-0000-0000B4190000}"/>
    <cellStyle name="SAPBEXchaText 96" xfId="6466" xr:uid="{00000000-0005-0000-0000-0000B5190000}"/>
    <cellStyle name="SAPBEXchaText 97" xfId="6467" xr:uid="{00000000-0005-0000-0000-0000B6190000}"/>
    <cellStyle name="SAPBEXchaText 98" xfId="6468" xr:uid="{00000000-0005-0000-0000-0000B7190000}"/>
    <cellStyle name="SAPBEXchaText 99" xfId="6469" xr:uid="{00000000-0005-0000-0000-0000B8190000}"/>
    <cellStyle name="SAPBEXchaText_2009 12 09 Cash flow (2009)" xfId="6470" xr:uid="{00000000-0005-0000-0000-0000B9190000}"/>
    <cellStyle name="SAPBEXexcBad7" xfId="6471" xr:uid="{00000000-0005-0000-0000-0000BA190000}"/>
    <cellStyle name="SAPBEXexcBad7 10" xfId="6472" xr:uid="{00000000-0005-0000-0000-0000BB190000}"/>
    <cellStyle name="SAPBEXexcBad7 10 2" xfId="6473" xr:uid="{00000000-0005-0000-0000-0000BC190000}"/>
    <cellStyle name="SAPBEXexcBad7 10 3" xfId="6474" xr:uid="{00000000-0005-0000-0000-0000BD190000}"/>
    <cellStyle name="SAPBEXexcBad7 10 4" xfId="6475" xr:uid="{00000000-0005-0000-0000-0000BE190000}"/>
    <cellStyle name="SAPBEXexcBad7 10 5" xfId="6476" xr:uid="{00000000-0005-0000-0000-0000BF190000}"/>
    <cellStyle name="SAPBEXexcBad7 10 6" xfId="6477" xr:uid="{00000000-0005-0000-0000-0000C0190000}"/>
    <cellStyle name="SAPBEXexcBad7 11" xfId="6478" xr:uid="{00000000-0005-0000-0000-0000C1190000}"/>
    <cellStyle name="SAPBEXexcBad7 11 2" xfId="6479" xr:uid="{00000000-0005-0000-0000-0000C2190000}"/>
    <cellStyle name="SAPBEXexcBad7 11 3" xfId="6480" xr:uid="{00000000-0005-0000-0000-0000C3190000}"/>
    <cellStyle name="SAPBEXexcBad7 11 4" xfId="6481" xr:uid="{00000000-0005-0000-0000-0000C4190000}"/>
    <cellStyle name="SAPBEXexcBad7 11 5" xfId="6482" xr:uid="{00000000-0005-0000-0000-0000C5190000}"/>
    <cellStyle name="SAPBEXexcBad7 11 6" xfId="6483" xr:uid="{00000000-0005-0000-0000-0000C6190000}"/>
    <cellStyle name="SAPBEXexcBad7 12" xfId="6484" xr:uid="{00000000-0005-0000-0000-0000C7190000}"/>
    <cellStyle name="SAPBEXexcBad7 12 2" xfId="6485" xr:uid="{00000000-0005-0000-0000-0000C8190000}"/>
    <cellStyle name="SAPBEXexcBad7 12 3" xfId="6486" xr:uid="{00000000-0005-0000-0000-0000C9190000}"/>
    <cellStyle name="SAPBEXexcBad7 12 4" xfId="6487" xr:uid="{00000000-0005-0000-0000-0000CA190000}"/>
    <cellStyle name="SAPBEXexcBad7 12 5" xfId="6488" xr:uid="{00000000-0005-0000-0000-0000CB190000}"/>
    <cellStyle name="SAPBEXexcBad7 12 6" xfId="6489" xr:uid="{00000000-0005-0000-0000-0000CC190000}"/>
    <cellStyle name="SAPBEXexcBad7 13" xfId="6490" xr:uid="{00000000-0005-0000-0000-0000CD190000}"/>
    <cellStyle name="SAPBEXexcBad7 13 2" xfId="6491" xr:uid="{00000000-0005-0000-0000-0000CE190000}"/>
    <cellStyle name="SAPBEXexcBad7 13 3" xfId="6492" xr:uid="{00000000-0005-0000-0000-0000CF190000}"/>
    <cellStyle name="SAPBEXexcBad7 13 4" xfId="6493" xr:uid="{00000000-0005-0000-0000-0000D0190000}"/>
    <cellStyle name="SAPBEXexcBad7 13 5" xfId="6494" xr:uid="{00000000-0005-0000-0000-0000D1190000}"/>
    <cellStyle name="SAPBEXexcBad7 13 6" xfId="6495" xr:uid="{00000000-0005-0000-0000-0000D2190000}"/>
    <cellStyle name="SAPBEXexcBad7 14" xfId="6496" xr:uid="{00000000-0005-0000-0000-0000D3190000}"/>
    <cellStyle name="SAPBEXexcBad7 14 2" xfId="6497" xr:uid="{00000000-0005-0000-0000-0000D4190000}"/>
    <cellStyle name="SAPBEXexcBad7 14 3" xfId="6498" xr:uid="{00000000-0005-0000-0000-0000D5190000}"/>
    <cellStyle name="SAPBEXexcBad7 14 4" xfId="6499" xr:uid="{00000000-0005-0000-0000-0000D6190000}"/>
    <cellStyle name="SAPBEXexcBad7 14 5" xfId="6500" xr:uid="{00000000-0005-0000-0000-0000D7190000}"/>
    <cellStyle name="SAPBEXexcBad7 14 6" xfId="6501" xr:uid="{00000000-0005-0000-0000-0000D8190000}"/>
    <cellStyle name="SAPBEXexcBad7 15" xfId="6502" xr:uid="{00000000-0005-0000-0000-0000D9190000}"/>
    <cellStyle name="SAPBEXexcBad7 15 2" xfId="6503" xr:uid="{00000000-0005-0000-0000-0000DA190000}"/>
    <cellStyle name="SAPBEXexcBad7 15 3" xfId="6504" xr:uid="{00000000-0005-0000-0000-0000DB190000}"/>
    <cellStyle name="SAPBEXexcBad7 15 4" xfId="6505" xr:uid="{00000000-0005-0000-0000-0000DC190000}"/>
    <cellStyle name="SAPBEXexcBad7 15 5" xfId="6506" xr:uid="{00000000-0005-0000-0000-0000DD190000}"/>
    <cellStyle name="SAPBEXexcBad7 15 6" xfId="6507" xr:uid="{00000000-0005-0000-0000-0000DE190000}"/>
    <cellStyle name="SAPBEXexcBad7 16" xfId="6508" xr:uid="{00000000-0005-0000-0000-0000DF190000}"/>
    <cellStyle name="SAPBEXexcBad7 16 2" xfId="6509" xr:uid="{00000000-0005-0000-0000-0000E0190000}"/>
    <cellStyle name="SAPBEXexcBad7 16 3" xfId="6510" xr:uid="{00000000-0005-0000-0000-0000E1190000}"/>
    <cellStyle name="SAPBEXexcBad7 16 4" xfId="6511" xr:uid="{00000000-0005-0000-0000-0000E2190000}"/>
    <cellStyle name="SAPBEXexcBad7 16 5" xfId="6512" xr:uid="{00000000-0005-0000-0000-0000E3190000}"/>
    <cellStyle name="SAPBEXexcBad7 16 6" xfId="6513" xr:uid="{00000000-0005-0000-0000-0000E4190000}"/>
    <cellStyle name="SAPBEXexcBad7 17" xfId="6514" xr:uid="{00000000-0005-0000-0000-0000E5190000}"/>
    <cellStyle name="SAPBEXexcBad7 17 2" xfId="6515" xr:uid="{00000000-0005-0000-0000-0000E6190000}"/>
    <cellStyle name="SAPBEXexcBad7 17 3" xfId="6516" xr:uid="{00000000-0005-0000-0000-0000E7190000}"/>
    <cellStyle name="SAPBEXexcBad7 17 4" xfId="6517" xr:uid="{00000000-0005-0000-0000-0000E8190000}"/>
    <cellStyle name="SAPBEXexcBad7 17 5" xfId="6518" xr:uid="{00000000-0005-0000-0000-0000E9190000}"/>
    <cellStyle name="SAPBEXexcBad7 17 6" xfId="6519" xr:uid="{00000000-0005-0000-0000-0000EA190000}"/>
    <cellStyle name="SAPBEXexcBad7 18" xfId="6520" xr:uid="{00000000-0005-0000-0000-0000EB190000}"/>
    <cellStyle name="SAPBEXexcBad7 18 2" xfId="6521" xr:uid="{00000000-0005-0000-0000-0000EC190000}"/>
    <cellStyle name="SAPBEXexcBad7 18 3" xfId="6522" xr:uid="{00000000-0005-0000-0000-0000ED190000}"/>
    <cellStyle name="SAPBEXexcBad7 18 4" xfId="6523" xr:uid="{00000000-0005-0000-0000-0000EE190000}"/>
    <cellStyle name="SAPBEXexcBad7 18 5" xfId="6524" xr:uid="{00000000-0005-0000-0000-0000EF190000}"/>
    <cellStyle name="SAPBEXexcBad7 18 6" xfId="6525" xr:uid="{00000000-0005-0000-0000-0000F0190000}"/>
    <cellStyle name="SAPBEXexcBad7 19" xfId="6526" xr:uid="{00000000-0005-0000-0000-0000F1190000}"/>
    <cellStyle name="SAPBEXexcBad7 19 2" xfId="6527" xr:uid="{00000000-0005-0000-0000-0000F2190000}"/>
    <cellStyle name="SAPBEXexcBad7 19 3" xfId="6528" xr:uid="{00000000-0005-0000-0000-0000F3190000}"/>
    <cellStyle name="SAPBEXexcBad7 19 4" xfId="6529" xr:uid="{00000000-0005-0000-0000-0000F4190000}"/>
    <cellStyle name="SAPBEXexcBad7 19 5" xfId="6530" xr:uid="{00000000-0005-0000-0000-0000F5190000}"/>
    <cellStyle name="SAPBEXexcBad7 19 6" xfId="6531" xr:uid="{00000000-0005-0000-0000-0000F6190000}"/>
    <cellStyle name="SAPBEXexcBad7 2" xfId="6532" xr:uid="{00000000-0005-0000-0000-0000F7190000}"/>
    <cellStyle name="SAPBEXexcBad7 2 10" xfId="6533" xr:uid="{00000000-0005-0000-0000-0000F8190000}"/>
    <cellStyle name="SAPBEXexcBad7 2 10 2" xfId="6534" xr:uid="{00000000-0005-0000-0000-0000F9190000}"/>
    <cellStyle name="SAPBEXexcBad7 2 10 3" xfId="6535" xr:uid="{00000000-0005-0000-0000-0000FA190000}"/>
    <cellStyle name="SAPBEXexcBad7 2 10 4" xfId="6536" xr:uid="{00000000-0005-0000-0000-0000FB190000}"/>
    <cellStyle name="SAPBEXexcBad7 2 11" xfId="6537" xr:uid="{00000000-0005-0000-0000-0000FC190000}"/>
    <cellStyle name="SAPBEXexcBad7 2 11 2" xfId="6538" xr:uid="{00000000-0005-0000-0000-0000FD190000}"/>
    <cellStyle name="SAPBEXexcBad7 2 11 3" xfId="6539" xr:uid="{00000000-0005-0000-0000-0000FE190000}"/>
    <cellStyle name="SAPBEXexcBad7 2 11 4" xfId="6540" xr:uid="{00000000-0005-0000-0000-0000FF190000}"/>
    <cellStyle name="SAPBEXexcBad7 2 12" xfId="6541" xr:uid="{00000000-0005-0000-0000-0000001A0000}"/>
    <cellStyle name="SAPBEXexcBad7 2 12 2" xfId="6542" xr:uid="{00000000-0005-0000-0000-0000011A0000}"/>
    <cellStyle name="SAPBEXexcBad7 2 12 3" xfId="6543" xr:uid="{00000000-0005-0000-0000-0000021A0000}"/>
    <cellStyle name="SAPBEXexcBad7 2 12 4" xfId="6544" xr:uid="{00000000-0005-0000-0000-0000031A0000}"/>
    <cellStyle name="SAPBEXexcBad7 2 13" xfId="6545" xr:uid="{00000000-0005-0000-0000-0000041A0000}"/>
    <cellStyle name="SAPBEXexcBad7 2 13 2" xfId="6546" xr:uid="{00000000-0005-0000-0000-0000051A0000}"/>
    <cellStyle name="SAPBEXexcBad7 2 13 3" xfId="6547" xr:uid="{00000000-0005-0000-0000-0000061A0000}"/>
    <cellStyle name="SAPBEXexcBad7 2 13 4" xfId="6548" xr:uid="{00000000-0005-0000-0000-0000071A0000}"/>
    <cellStyle name="SAPBEXexcBad7 2 14" xfId="6549" xr:uid="{00000000-0005-0000-0000-0000081A0000}"/>
    <cellStyle name="SAPBEXexcBad7 2 15" xfId="6550" xr:uid="{00000000-0005-0000-0000-0000091A0000}"/>
    <cellStyle name="SAPBEXexcBad7 2 16" xfId="6551" xr:uid="{00000000-0005-0000-0000-00000A1A0000}"/>
    <cellStyle name="SAPBEXexcBad7 2 17" xfId="6552" xr:uid="{00000000-0005-0000-0000-00000B1A0000}"/>
    <cellStyle name="SAPBEXexcBad7 2 18" xfId="6553" xr:uid="{00000000-0005-0000-0000-00000C1A0000}"/>
    <cellStyle name="SAPBEXexcBad7 2 2" xfId="6554" xr:uid="{00000000-0005-0000-0000-00000D1A0000}"/>
    <cellStyle name="SAPBEXexcBad7 2 2 2" xfId="6555" xr:uid="{00000000-0005-0000-0000-00000E1A0000}"/>
    <cellStyle name="SAPBEXexcBad7 2 2 2 2" xfId="6556" xr:uid="{00000000-0005-0000-0000-00000F1A0000}"/>
    <cellStyle name="SAPBEXexcBad7 2 2 2 3" xfId="6557" xr:uid="{00000000-0005-0000-0000-0000101A0000}"/>
    <cellStyle name="SAPBEXexcBad7 2 2 2 4" xfId="6558" xr:uid="{00000000-0005-0000-0000-0000111A0000}"/>
    <cellStyle name="SAPBEXexcBad7 2 2 2 5" xfId="6559" xr:uid="{00000000-0005-0000-0000-0000121A0000}"/>
    <cellStyle name="SAPBEXexcBad7 2 2 2 6" xfId="6560" xr:uid="{00000000-0005-0000-0000-0000131A0000}"/>
    <cellStyle name="SAPBEXexcBad7 2 2 3" xfId="6561" xr:uid="{00000000-0005-0000-0000-0000141A0000}"/>
    <cellStyle name="SAPBEXexcBad7 2 2 3 2" xfId="6562" xr:uid="{00000000-0005-0000-0000-0000151A0000}"/>
    <cellStyle name="SAPBEXexcBad7 2 2 3 3" xfId="6563" xr:uid="{00000000-0005-0000-0000-0000161A0000}"/>
    <cellStyle name="SAPBEXexcBad7 2 2 3 4" xfId="6564" xr:uid="{00000000-0005-0000-0000-0000171A0000}"/>
    <cellStyle name="SAPBEXexcBad7 2 2 3 5" xfId="6565" xr:uid="{00000000-0005-0000-0000-0000181A0000}"/>
    <cellStyle name="SAPBEXexcBad7 2 2 3 6" xfId="6566" xr:uid="{00000000-0005-0000-0000-0000191A0000}"/>
    <cellStyle name="SAPBEXexcBad7 2 2 4" xfId="6567" xr:uid="{00000000-0005-0000-0000-00001A1A0000}"/>
    <cellStyle name="SAPBEXexcBad7 2 2 4 2" xfId="6568" xr:uid="{00000000-0005-0000-0000-00001B1A0000}"/>
    <cellStyle name="SAPBEXexcBad7 2 2 4 3" xfId="6569" xr:uid="{00000000-0005-0000-0000-00001C1A0000}"/>
    <cellStyle name="SAPBEXexcBad7 2 2 4 4" xfId="6570" xr:uid="{00000000-0005-0000-0000-00001D1A0000}"/>
    <cellStyle name="SAPBEXexcBad7 2 2 4 5" xfId="6571" xr:uid="{00000000-0005-0000-0000-00001E1A0000}"/>
    <cellStyle name="SAPBEXexcBad7 2 2 4 6" xfId="6572" xr:uid="{00000000-0005-0000-0000-00001F1A0000}"/>
    <cellStyle name="SAPBEXexcBad7 2 2 5" xfId="6573" xr:uid="{00000000-0005-0000-0000-0000201A0000}"/>
    <cellStyle name="SAPBEXexcBad7 2 2 5 2" xfId="6574" xr:uid="{00000000-0005-0000-0000-0000211A0000}"/>
    <cellStyle name="SAPBEXexcBad7 2 2 5 3" xfId="6575" xr:uid="{00000000-0005-0000-0000-0000221A0000}"/>
    <cellStyle name="SAPBEXexcBad7 2 2 5 4" xfId="6576" xr:uid="{00000000-0005-0000-0000-0000231A0000}"/>
    <cellStyle name="SAPBEXexcBad7 2 2 5 5" xfId="6577" xr:uid="{00000000-0005-0000-0000-0000241A0000}"/>
    <cellStyle name="SAPBEXexcBad7 2 2 5 6" xfId="6578" xr:uid="{00000000-0005-0000-0000-0000251A0000}"/>
    <cellStyle name="SAPBEXexcBad7 2 2 6" xfId="6579" xr:uid="{00000000-0005-0000-0000-0000261A0000}"/>
    <cellStyle name="SAPBEXexcBad7 2 2 7" xfId="6580" xr:uid="{00000000-0005-0000-0000-0000271A0000}"/>
    <cellStyle name="SAPBEXexcBad7 2 2 8" xfId="6581" xr:uid="{00000000-0005-0000-0000-0000281A0000}"/>
    <cellStyle name="SAPBEXexcBad7 2 3" xfId="6582" xr:uid="{00000000-0005-0000-0000-0000291A0000}"/>
    <cellStyle name="SAPBEXexcBad7 2 3 2" xfId="6583" xr:uid="{00000000-0005-0000-0000-00002A1A0000}"/>
    <cellStyle name="SAPBEXexcBad7 2 3 2 2" xfId="6584" xr:uid="{00000000-0005-0000-0000-00002B1A0000}"/>
    <cellStyle name="SAPBEXexcBad7 2 3 2 3" xfId="6585" xr:uid="{00000000-0005-0000-0000-00002C1A0000}"/>
    <cellStyle name="SAPBEXexcBad7 2 3 2 4" xfId="6586" xr:uid="{00000000-0005-0000-0000-00002D1A0000}"/>
    <cellStyle name="SAPBEXexcBad7 2 3 2 5" xfId="6587" xr:uid="{00000000-0005-0000-0000-00002E1A0000}"/>
    <cellStyle name="SAPBEXexcBad7 2 3 2 6" xfId="6588" xr:uid="{00000000-0005-0000-0000-00002F1A0000}"/>
    <cellStyle name="SAPBEXexcBad7 2 3 3" xfId="6589" xr:uid="{00000000-0005-0000-0000-0000301A0000}"/>
    <cellStyle name="SAPBEXexcBad7 2 3 3 2" xfId="6590" xr:uid="{00000000-0005-0000-0000-0000311A0000}"/>
    <cellStyle name="SAPBEXexcBad7 2 3 3 3" xfId="6591" xr:uid="{00000000-0005-0000-0000-0000321A0000}"/>
    <cellStyle name="SAPBEXexcBad7 2 3 3 4" xfId="6592" xr:uid="{00000000-0005-0000-0000-0000331A0000}"/>
    <cellStyle name="SAPBEXexcBad7 2 3 3 5" xfId="6593" xr:uid="{00000000-0005-0000-0000-0000341A0000}"/>
    <cellStyle name="SAPBEXexcBad7 2 3 3 6" xfId="6594" xr:uid="{00000000-0005-0000-0000-0000351A0000}"/>
    <cellStyle name="SAPBEXexcBad7 2 3 4" xfId="6595" xr:uid="{00000000-0005-0000-0000-0000361A0000}"/>
    <cellStyle name="SAPBEXexcBad7 2 3 4 2" xfId="6596" xr:uid="{00000000-0005-0000-0000-0000371A0000}"/>
    <cellStyle name="SAPBEXexcBad7 2 3 4 3" xfId="6597" xr:uid="{00000000-0005-0000-0000-0000381A0000}"/>
    <cellStyle name="SAPBEXexcBad7 2 3 4 4" xfId="6598" xr:uid="{00000000-0005-0000-0000-0000391A0000}"/>
    <cellStyle name="SAPBEXexcBad7 2 3 4 5" xfId="6599" xr:uid="{00000000-0005-0000-0000-00003A1A0000}"/>
    <cellStyle name="SAPBEXexcBad7 2 3 4 6" xfId="6600" xr:uid="{00000000-0005-0000-0000-00003B1A0000}"/>
    <cellStyle name="SAPBEXexcBad7 2 3 5" xfId="6601" xr:uid="{00000000-0005-0000-0000-00003C1A0000}"/>
    <cellStyle name="SAPBEXexcBad7 2 3 5 2" xfId="6602" xr:uid="{00000000-0005-0000-0000-00003D1A0000}"/>
    <cellStyle name="SAPBEXexcBad7 2 3 5 3" xfId="6603" xr:uid="{00000000-0005-0000-0000-00003E1A0000}"/>
    <cellStyle name="SAPBEXexcBad7 2 3 5 4" xfId="6604" xr:uid="{00000000-0005-0000-0000-00003F1A0000}"/>
    <cellStyle name="SAPBEXexcBad7 2 3 5 5" xfId="6605" xr:uid="{00000000-0005-0000-0000-0000401A0000}"/>
    <cellStyle name="SAPBEXexcBad7 2 3 5 6" xfId="6606" xr:uid="{00000000-0005-0000-0000-0000411A0000}"/>
    <cellStyle name="SAPBEXexcBad7 2 3 6" xfId="6607" xr:uid="{00000000-0005-0000-0000-0000421A0000}"/>
    <cellStyle name="SAPBEXexcBad7 2 3 7" xfId="6608" xr:uid="{00000000-0005-0000-0000-0000431A0000}"/>
    <cellStyle name="SAPBEXexcBad7 2 3 8" xfId="6609" xr:uid="{00000000-0005-0000-0000-0000441A0000}"/>
    <cellStyle name="SAPBEXexcBad7 2 4" xfId="6610" xr:uid="{00000000-0005-0000-0000-0000451A0000}"/>
    <cellStyle name="SAPBEXexcBad7 2 4 2" xfId="6611" xr:uid="{00000000-0005-0000-0000-0000461A0000}"/>
    <cellStyle name="SAPBEXexcBad7 2 4 2 2" xfId="6612" xr:uid="{00000000-0005-0000-0000-0000471A0000}"/>
    <cellStyle name="SAPBEXexcBad7 2 4 2 3" xfId="6613" xr:uid="{00000000-0005-0000-0000-0000481A0000}"/>
    <cellStyle name="SAPBEXexcBad7 2 4 2 4" xfId="6614" xr:uid="{00000000-0005-0000-0000-0000491A0000}"/>
    <cellStyle name="SAPBEXexcBad7 2 4 2 5" xfId="6615" xr:uid="{00000000-0005-0000-0000-00004A1A0000}"/>
    <cellStyle name="SAPBEXexcBad7 2 4 2 6" xfId="6616" xr:uid="{00000000-0005-0000-0000-00004B1A0000}"/>
    <cellStyle name="SAPBEXexcBad7 2 4 3" xfId="6617" xr:uid="{00000000-0005-0000-0000-00004C1A0000}"/>
    <cellStyle name="SAPBEXexcBad7 2 4 3 2" xfId="6618" xr:uid="{00000000-0005-0000-0000-00004D1A0000}"/>
    <cellStyle name="SAPBEXexcBad7 2 4 3 3" xfId="6619" xr:uid="{00000000-0005-0000-0000-00004E1A0000}"/>
    <cellStyle name="SAPBEXexcBad7 2 4 3 4" xfId="6620" xr:uid="{00000000-0005-0000-0000-00004F1A0000}"/>
    <cellStyle name="SAPBEXexcBad7 2 4 3 5" xfId="6621" xr:uid="{00000000-0005-0000-0000-0000501A0000}"/>
    <cellStyle name="SAPBEXexcBad7 2 4 3 6" xfId="6622" xr:uid="{00000000-0005-0000-0000-0000511A0000}"/>
    <cellStyle name="SAPBEXexcBad7 2 4 4" xfId="6623" xr:uid="{00000000-0005-0000-0000-0000521A0000}"/>
    <cellStyle name="SAPBEXexcBad7 2 4 4 2" xfId="6624" xr:uid="{00000000-0005-0000-0000-0000531A0000}"/>
    <cellStyle name="SAPBEXexcBad7 2 4 4 3" xfId="6625" xr:uid="{00000000-0005-0000-0000-0000541A0000}"/>
    <cellStyle name="SAPBEXexcBad7 2 4 4 4" xfId="6626" xr:uid="{00000000-0005-0000-0000-0000551A0000}"/>
    <cellStyle name="SAPBEXexcBad7 2 4 4 5" xfId="6627" xr:uid="{00000000-0005-0000-0000-0000561A0000}"/>
    <cellStyle name="SAPBEXexcBad7 2 4 4 6" xfId="6628" xr:uid="{00000000-0005-0000-0000-0000571A0000}"/>
    <cellStyle name="SAPBEXexcBad7 2 4 5" xfId="6629" xr:uid="{00000000-0005-0000-0000-0000581A0000}"/>
    <cellStyle name="SAPBEXexcBad7 2 4 5 2" xfId="6630" xr:uid="{00000000-0005-0000-0000-0000591A0000}"/>
    <cellStyle name="SAPBEXexcBad7 2 4 5 3" xfId="6631" xr:uid="{00000000-0005-0000-0000-00005A1A0000}"/>
    <cellStyle name="SAPBEXexcBad7 2 4 5 4" xfId="6632" xr:uid="{00000000-0005-0000-0000-00005B1A0000}"/>
    <cellStyle name="SAPBEXexcBad7 2 4 5 5" xfId="6633" xr:uid="{00000000-0005-0000-0000-00005C1A0000}"/>
    <cellStyle name="SAPBEXexcBad7 2 4 5 6" xfId="6634" xr:uid="{00000000-0005-0000-0000-00005D1A0000}"/>
    <cellStyle name="SAPBEXexcBad7 2 4 6" xfId="6635" xr:uid="{00000000-0005-0000-0000-00005E1A0000}"/>
    <cellStyle name="SAPBEXexcBad7 2 4 7" xfId="6636" xr:uid="{00000000-0005-0000-0000-00005F1A0000}"/>
    <cellStyle name="SAPBEXexcBad7 2 4 8" xfId="6637" xr:uid="{00000000-0005-0000-0000-0000601A0000}"/>
    <cellStyle name="SAPBEXexcBad7 2 5" xfId="6638" xr:uid="{00000000-0005-0000-0000-0000611A0000}"/>
    <cellStyle name="SAPBEXexcBad7 2 5 2" xfId="6639" xr:uid="{00000000-0005-0000-0000-0000621A0000}"/>
    <cellStyle name="SAPBEXexcBad7 2 5 3" xfId="6640" xr:uid="{00000000-0005-0000-0000-0000631A0000}"/>
    <cellStyle name="SAPBEXexcBad7 2 5 4" xfId="6641" xr:uid="{00000000-0005-0000-0000-0000641A0000}"/>
    <cellStyle name="SAPBEXexcBad7 2 6" xfId="6642" xr:uid="{00000000-0005-0000-0000-0000651A0000}"/>
    <cellStyle name="SAPBEXexcBad7 2 6 2" xfId="6643" xr:uid="{00000000-0005-0000-0000-0000661A0000}"/>
    <cellStyle name="SAPBEXexcBad7 2 6 3" xfId="6644" xr:uid="{00000000-0005-0000-0000-0000671A0000}"/>
    <cellStyle name="SAPBEXexcBad7 2 6 4" xfId="6645" xr:uid="{00000000-0005-0000-0000-0000681A0000}"/>
    <cellStyle name="SAPBEXexcBad7 2 7" xfId="6646" xr:uid="{00000000-0005-0000-0000-0000691A0000}"/>
    <cellStyle name="SAPBEXexcBad7 2 7 2" xfId="6647" xr:uid="{00000000-0005-0000-0000-00006A1A0000}"/>
    <cellStyle name="SAPBEXexcBad7 2 7 3" xfId="6648" xr:uid="{00000000-0005-0000-0000-00006B1A0000}"/>
    <cellStyle name="SAPBEXexcBad7 2 7 4" xfId="6649" xr:uid="{00000000-0005-0000-0000-00006C1A0000}"/>
    <cellStyle name="SAPBEXexcBad7 2 8" xfId="6650" xr:uid="{00000000-0005-0000-0000-00006D1A0000}"/>
    <cellStyle name="SAPBEXexcBad7 2 8 2" xfId="6651" xr:uid="{00000000-0005-0000-0000-00006E1A0000}"/>
    <cellStyle name="SAPBEXexcBad7 2 8 3" xfId="6652" xr:uid="{00000000-0005-0000-0000-00006F1A0000}"/>
    <cellStyle name="SAPBEXexcBad7 2 8 4" xfId="6653" xr:uid="{00000000-0005-0000-0000-0000701A0000}"/>
    <cellStyle name="SAPBEXexcBad7 2 9" xfId="6654" xr:uid="{00000000-0005-0000-0000-0000711A0000}"/>
    <cellStyle name="SAPBEXexcBad7 2 9 2" xfId="6655" xr:uid="{00000000-0005-0000-0000-0000721A0000}"/>
    <cellStyle name="SAPBEXexcBad7 2 9 3" xfId="6656" xr:uid="{00000000-0005-0000-0000-0000731A0000}"/>
    <cellStyle name="SAPBEXexcBad7 2 9 4" xfId="6657" xr:uid="{00000000-0005-0000-0000-0000741A0000}"/>
    <cellStyle name="SAPBEXexcBad7 20" xfId="6658" xr:uid="{00000000-0005-0000-0000-0000751A0000}"/>
    <cellStyle name="SAPBEXexcBad7 20 2" xfId="6659" xr:uid="{00000000-0005-0000-0000-0000761A0000}"/>
    <cellStyle name="SAPBEXexcBad7 20 3" xfId="6660" xr:uid="{00000000-0005-0000-0000-0000771A0000}"/>
    <cellStyle name="SAPBEXexcBad7 20 4" xfId="6661" xr:uid="{00000000-0005-0000-0000-0000781A0000}"/>
    <cellStyle name="SAPBEXexcBad7 20 5" xfId="6662" xr:uid="{00000000-0005-0000-0000-0000791A0000}"/>
    <cellStyle name="SAPBEXexcBad7 20 6" xfId="6663" xr:uid="{00000000-0005-0000-0000-00007A1A0000}"/>
    <cellStyle name="SAPBEXexcBad7 21" xfId="6664" xr:uid="{00000000-0005-0000-0000-00007B1A0000}"/>
    <cellStyle name="SAPBEXexcBad7 21 2" xfId="6665" xr:uid="{00000000-0005-0000-0000-00007C1A0000}"/>
    <cellStyle name="SAPBEXexcBad7 21 3" xfId="6666" xr:uid="{00000000-0005-0000-0000-00007D1A0000}"/>
    <cellStyle name="SAPBEXexcBad7 21 4" xfId="6667" xr:uid="{00000000-0005-0000-0000-00007E1A0000}"/>
    <cellStyle name="SAPBEXexcBad7 21 5" xfId="6668" xr:uid="{00000000-0005-0000-0000-00007F1A0000}"/>
    <cellStyle name="SAPBEXexcBad7 21 6" xfId="6669" xr:uid="{00000000-0005-0000-0000-0000801A0000}"/>
    <cellStyle name="SAPBEXexcBad7 22" xfId="6670" xr:uid="{00000000-0005-0000-0000-0000811A0000}"/>
    <cellStyle name="SAPBEXexcBad7 22 2" xfId="6671" xr:uid="{00000000-0005-0000-0000-0000821A0000}"/>
    <cellStyle name="SAPBEXexcBad7 22 3" xfId="6672" xr:uid="{00000000-0005-0000-0000-0000831A0000}"/>
    <cellStyle name="SAPBEXexcBad7 22 4" xfId="6673" xr:uid="{00000000-0005-0000-0000-0000841A0000}"/>
    <cellStyle name="SAPBEXexcBad7 22 5" xfId="6674" xr:uid="{00000000-0005-0000-0000-0000851A0000}"/>
    <cellStyle name="SAPBEXexcBad7 22 6" xfId="6675" xr:uid="{00000000-0005-0000-0000-0000861A0000}"/>
    <cellStyle name="SAPBEXexcBad7 23" xfId="6676" xr:uid="{00000000-0005-0000-0000-0000871A0000}"/>
    <cellStyle name="SAPBEXexcBad7 23 2" xfId="6677" xr:uid="{00000000-0005-0000-0000-0000881A0000}"/>
    <cellStyle name="SAPBEXexcBad7 23 3" xfId="6678" xr:uid="{00000000-0005-0000-0000-0000891A0000}"/>
    <cellStyle name="SAPBEXexcBad7 23 4" xfId="6679" xr:uid="{00000000-0005-0000-0000-00008A1A0000}"/>
    <cellStyle name="SAPBEXexcBad7 23 5" xfId="6680" xr:uid="{00000000-0005-0000-0000-00008B1A0000}"/>
    <cellStyle name="SAPBEXexcBad7 23 6" xfId="6681" xr:uid="{00000000-0005-0000-0000-00008C1A0000}"/>
    <cellStyle name="SAPBEXexcBad7 24" xfId="6682" xr:uid="{00000000-0005-0000-0000-00008D1A0000}"/>
    <cellStyle name="SAPBEXexcBad7 24 2" xfId="6683" xr:uid="{00000000-0005-0000-0000-00008E1A0000}"/>
    <cellStyle name="SAPBEXexcBad7 24 3" xfId="6684" xr:uid="{00000000-0005-0000-0000-00008F1A0000}"/>
    <cellStyle name="SAPBEXexcBad7 24 4" xfId="6685" xr:uid="{00000000-0005-0000-0000-0000901A0000}"/>
    <cellStyle name="SAPBEXexcBad7 24 5" xfId="6686" xr:uid="{00000000-0005-0000-0000-0000911A0000}"/>
    <cellStyle name="SAPBEXexcBad7 24 6" xfId="6687" xr:uid="{00000000-0005-0000-0000-0000921A0000}"/>
    <cellStyle name="SAPBEXexcBad7 25" xfId="6688" xr:uid="{00000000-0005-0000-0000-0000931A0000}"/>
    <cellStyle name="SAPBEXexcBad7 25 2" xfId="6689" xr:uid="{00000000-0005-0000-0000-0000941A0000}"/>
    <cellStyle name="SAPBEXexcBad7 25 3" xfId="6690" xr:uid="{00000000-0005-0000-0000-0000951A0000}"/>
    <cellStyle name="SAPBEXexcBad7 25 4" xfId="6691" xr:uid="{00000000-0005-0000-0000-0000961A0000}"/>
    <cellStyle name="SAPBEXexcBad7 25 5" xfId="6692" xr:uid="{00000000-0005-0000-0000-0000971A0000}"/>
    <cellStyle name="SAPBEXexcBad7 25 6" xfId="6693" xr:uid="{00000000-0005-0000-0000-0000981A0000}"/>
    <cellStyle name="SAPBEXexcBad7 26" xfId="6694" xr:uid="{00000000-0005-0000-0000-0000991A0000}"/>
    <cellStyle name="SAPBEXexcBad7 26 2" xfId="6695" xr:uid="{00000000-0005-0000-0000-00009A1A0000}"/>
    <cellStyle name="SAPBEXexcBad7 26 3" xfId="6696" xr:uid="{00000000-0005-0000-0000-00009B1A0000}"/>
    <cellStyle name="SAPBEXexcBad7 26 4" xfId="6697" xr:uid="{00000000-0005-0000-0000-00009C1A0000}"/>
    <cellStyle name="SAPBEXexcBad7 26 5" xfId="6698" xr:uid="{00000000-0005-0000-0000-00009D1A0000}"/>
    <cellStyle name="SAPBEXexcBad7 26 6" xfId="6699" xr:uid="{00000000-0005-0000-0000-00009E1A0000}"/>
    <cellStyle name="SAPBEXexcBad7 27" xfId="6700" xr:uid="{00000000-0005-0000-0000-00009F1A0000}"/>
    <cellStyle name="SAPBEXexcBad7 27 2" xfId="6701" xr:uid="{00000000-0005-0000-0000-0000A01A0000}"/>
    <cellStyle name="SAPBEXexcBad7 27 3" xfId="6702" xr:uid="{00000000-0005-0000-0000-0000A11A0000}"/>
    <cellStyle name="SAPBEXexcBad7 27 4" xfId="6703" xr:uid="{00000000-0005-0000-0000-0000A21A0000}"/>
    <cellStyle name="SAPBEXexcBad7 27 5" xfId="6704" xr:uid="{00000000-0005-0000-0000-0000A31A0000}"/>
    <cellStyle name="SAPBEXexcBad7 27 6" xfId="6705" xr:uid="{00000000-0005-0000-0000-0000A41A0000}"/>
    <cellStyle name="SAPBEXexcBad7 28" xfId="6706" xr:uid="{00000000-0005-0000-0000-0000A51A0000}"/>
    <cellStyle name="SAPBEXexcBad7 28 2" xfId="6707" xr:uid="{00000000-0005-0000-0000-0000A61A0000}"/>
    <cellStyle name="SAPBEXexcBad7 28 3" xfId="6708" xr:uid="{00000000-0005-0000-0000-0000A71A0000}"/>
    <cellStyle name="SAPBEXexcBad7 28 4" xfId="6709" xr:uid="{00000000-0005-0000-0000-0000A81A0000}"/>
    <cellStyle name="SAPBEXexcBad7 28 5" xfId="6710" xr:uid="{00000000-0005-0000-0000-0000A91A0000}"/>
    <cellStyle name="SAPBEXexcBad7 28 6" xfId="6711" xr:uid="{00000000-0005-0000-0000-0000AA1A0000}"/>
    <cellStyle name="SAPBEXexcBad7 29" xfId="6712" xr:uid="{00000000-0005-0000-0000-0000AB1A0000}"/>
    <cellStyle name="SAPBEXexcBad7 29 2" xfId="6713" xr:uid="{00000000-0005-0000-0000-0000AC1A0000}"/>
    <cellStyle name="SAPBEXexcBad7 29 3" xfId="6714" xr:uid="{00000000-0005-0000-0000-0000AD1A0000}"/>
    <cellStyle name="SAPBEXexcBad7 29 4" xfId="6715" xr:uid="{00000000-0005-0000-0000-0000AE1A0000}"/>
    <cellStyle name="SAPBEXexcBad7 29 5" xfId="6716" xr:uid="{00000000-0005-0000-0000-0000AF1A0000}"/>
    <cellStyle name="SAPBEXexcBad7 29 6" xfId="6717" xr:uid="{00000000-0005-0000-0000-0000B01A0000}"/>
    <cellStyle name="SAPBEXexcBad7 3" xfId="6718" xr:uid="{00000000-0005-0000-0000-0000B11A0000}"/>
    <cellStyle name="SAPBEXexcBad7 3 10" xfId="6719" xr:uid="{00000000-0005-0000-0000-0000B21A0000}"/>
    <cellStyle name="SAPBEXexcBad7 3 11" xfId="6720" xr:uid="{00000000-0005-0000-0000-0000B31A0000}"/>
    <cellStyle name="SAPBEXexcBad7 3 12" xfId="6721" xr:uid="{00000000-0005-0000-0000-0000B41A0000}"/>
    <cellStyle name="SAPBEXexcBad7 3 2" xfId="6722" xr:uid="{00000000-0005-0000-0000-0000B51A0000}"/>
    <cellStyle name="SAPBEXexcBad7 3 2 2" xfId="6723" xr:uid="{00000000-0005-0000-0000-0000B61A0000}"/>
    <cellStyle name="SAPBEXexcBad7 3 2 2 2" xfId="6724" xr:uid="{00000000-0005-0000-0000-0000B71A0000}"/>
    <cellStyle name="SAPBEXexcBad7 3 2 2 3" xfId="6725" xr:uid="{00000000-0005-0000-0000-0000B81A0000}"/>
    <cellStyle name="SAPBEXexcBad7 3 2 2 4" xfId="6726" xr:uid="{00000000-0005-0000-0000-0000B91A0000}"/>
    <cellStyle name="SAPBEXexcBad7 3 2 2 5" xfId="6727" xr:uid="{00000000-0005-0000-0000-0000BA1A0000}"/>
    <cellStyle name="SAPBEXexcBad7 3 2 2 6" xfId="6728" xr:uid="{00000000-0005-0000-0000-0000BB1A0000}"/>
    <cellStyle name="SAPBEXexcBad7 3 2 3" xfId="6729" xr:uid="{00000000-0005-0000-0000-0000BC1A0000}"/>
    <cellStyle name="SAPBEXexcBad7 3 2 3 2" xfId="6730" xr:uid="{00000000-0005-0000-0000-0000BD1A0000}"/>
    <cellStyle name="SAPBEXexcBad7 3 2 3 3" xfId="6731" xr:uid="{00000000-0005-0000-0000-0000BE1A0000}"/>
    <cellStyle name="SAPBEXexcBad7 3 2 3 4" xfId="6732" xr:uid="{00000000-0005-0000-0000-0000BF1A0000}"/>
    <cellStyle name="SAPBEXexcBad7 3 2 3 5" xfId="6733" xr:uid="{00000000-0005-0000-0000-0000C01A0000}"/>
    <cellStyle name="SAPBEXexcBad7 3 2 3 6" xfId="6734" xr:uid="{00000000-0005-0000-0000-0000C11A0000}"/>
    <cellStyle name="SAPBEXexcBad7 3 2 4" xfId="6735" xr:uid="{00000000-0005-0000-0000-0000C21A0000}"/>
    <cellStyle name="SAPBEXexcBad7 3 2 4 2" xfId="6736" xr:uid="{00000000-0005-0000-0000-0000C31A0000}"/>
    <cellStyle name="SAPBEXexcBad7 3 2 4 3" xfId="6737" xr:uid="{00000000-0005-0000-0000-0000C41A0000}"/>
    <cellStyle name="SAPBEXexcBad7 3 2 4 4" xfId="6738" xr:uid="{00000000-0005-0000-0000-0000C51A0000}"/>
    <cellStyle name="SAPBEXexcBad7 3 2 4 5" xfId="6739" xr:uid="{00000000-0005-0000-0000-0000C61A0000}"/>
    <cellStyle name="SAPBEXexcBad7 3 2 4 6" xfId="6740" xr:uid="{00000000-0005-0000-0000-0000C71A0000}"/>
    <cellStyle name="SAPBEXexcBad7 3 2 5" xfId="6741" xr:uid="{00000000-0005-0000-0000-0000C81A0000}"/>
    <cellStyle name="SAPBEXexcBad7 3 2 5 2" xfId="6742" xr:uid="{00000000-0005-0000-0000-0000C91A0000}"/>
    <cellStyle name="SAPBEXexcBad7 3 2 5 3" xfId="6743" xr:uid="{00000000-0005-0000-0000-0000CA1A0000}"/>
    <cellStyle name="SAPBEXexcBad7 3 2 5 4" xfId="6744" xr:uid="{00000000-0005-0000-0000-0000CB1A0000}"/>
    <cellStyle name="SAPBEXexcBad7 3 2 5 5" xfId="6745" xr:uid="{00000000-0005-0000-0000-0000CC1A0000}"/>
    <cellStyle name="SAPBEXexcBad7 3 2 5 6" xfId="6746" xr:uid="{00000000-0005-0000-0000-0000CD1A0000}"/>
    <cellStyle name="SAPBEXexcBad7 3 2 6" xfId="6747" xr:uid="{00000000-0005-0000-0000-0000CE1A0000}"/>
    <cellStyle name="SAPBEXexcBad7 3 2 7" xfId="6748" xr:uid="{00000000-0005-0000-0000-0000CF1A0000}"/>
    <cellStyle name="SAPBEXexcBad7 3 2 8" xfId="6749" xr:uid="{00000000-0005-0000-0000-0000D01A0000}"/>
    <cellStyle name="SAPBEXexcBad7 3 3" xfId="6750" xr:uid="{00000000-0005-0000-0000-0000D11A0000}"/>
    <cellStyle name="SAPBEXexcBad7 3 3 2" xfId="6751" xr:uid="{00000000-0005-0000-0000-0000D21A0000}"/>
    <cellStyle name="SAPBEXexcBad7 3 3 3" xfId="6752" xr:uid="{00000000-0005-0000-0000-0000D31A0000}"/>
    <cellStyle name="SAPBEXexcBad7 3 3 4" xfId="6753" xr:uid="{00000000-0005-0000-0000-0000D41A0000}"/>
    <cellStyle name="SAPBEXexcBad7 3 3 5" xfId="6754" xr:uid="{00000000-0005-0000-0000-0000D51A0000}"/>
    <cellStyle name="SAPBEXexcBad7 3 3 6" xfId="6755" xr:uid="{00000000-0005-0000-0000-0000D61A0000}"/>
    <cellStyle name="SAPBEXexcBad7 3 4" xfId="6756" xr:uid="{00000000-0005-0000-0000-0000D71A0000}"/>
    <cellStyle name="SAPBEXexcBad7 3 4 2" xfId="6757" xr:uid="{00000000-0005-0000-0000-0000D81A0000}"/>
    <cellStyle name="SAPBEXexcBad7 3 4 3" xfId="6758" xr:uid="{00000000-0005-0000-0000-0000D91A0000}"/>
    <cellStyle name="SAPBEXexcBad7 3 4 4" xfId="6759" xr:uid="{00000000-0005-0000-0000-0000DA1A0000}"/>
    <cellStyle name="SAPBEXexcBad7 3 4 5" xfId="6760" xr:uid="{00000000-0005-0000-0000-0000DB1A0000}"/>
    <cellStyle name="SAPBEXexcBad7 3 4 6" xfId="6761" xr:uid="{00000000-0005-0000-0000-0000DC1A0000}"/>
    <cellStyle name="SAPBEXexcBad7 3 5" xfId="6762" xr:uid="{00000000-0005-0000-0000-0000DD1A0000}"/>
    <cellStyle name="SAPBEXexcBad7 3 5 2" xfId="6763" xr:uid="{00000000-0005-0000-0000-0000DE1A0000}"/>
    <cellStyle name="SAPBEXexcBad7 3 5 3" xfId="6764" xr:uid="{00000000-0005-0000-0000-0000DF1A0000}"/>
    <cellStyle name="SAPBEXexcBad7 3 5 4" xfId="6765" xr:uid="{00000000-0005-0000-0000-0000E01A0000}"/>
    <cellStyle name="SAPBEXexcBad7 3 6" xfId="6766" xr:uid="{00000000-0005-0000-0000-0000E11A0000}"/>
    <cellStyle name="SAPBEXexcBad7 3 6 2" xfId="6767" xr:uid="{00000000-0005-0000-0000-0000E21A0000}"/>
    <cellStyle name="SAPBEXexcBad7 3 6 3" xfId="6768" xr:uid="{00000000-0005-0000-0000-0000E31A0000}"/>
    <cellStyle name="SAPBEXexcBad7 3 6 4" xfId="6769" xr:uid="{00000000-0005-0000-0000-0000E41A0000}"/>
    <cellStyle name="SAPBEXexcBad7 3 7" xfId="6770" xr:uid="{00000000-0005-0000-0000-0000E51A0000}"/>
    <cellStyle name="SAPBEXexcBad7 3 7 2" xfId="6771" xr:uid="{00000000-0005-0000-0000-0000E61A0000}"/>
    <cellStyle name="SAPBEXexcBad7 3 7 3" xfId="6772" xr:uid="{00000000-0005-0000-0000-0000E71A0000}"/>
    <cellStyle name="SAPBEXexcBad7 3 7 4" xfId="6773" xr:uid="{00000000-0005-0000-0000-0000E81A0000}"/>
    <cellStyle name="SAPBEXexcBad7 3 8" xfId="6774" xr:uid="{00000000-0005-0000-0000-0000E91A0000}"/>
    <cellStyle name="SAPBEXexcBad7 3 9" xfId="6775" xr:uid="{00000000-0005-0000-0000-0000EA1A0000}"/>
    <cellStyle name="SAPBEXexcBad7 30" xfId="6776" xr:uid="{00000000-0005-0000-0000-0000EB1A0000}"/>
    <cellStyle name="SAPBEXexcBad7 30 2" xfId="6777" xr:uid="{00000000-0005-0000-0000-0000EC1A0000}"/>
    <cellStyle name="SAPBEXexcBad7 30 3" xfId="6778" xr:uid="{00000000-0005-0000-0000-0000ED1A0000}"/>
    <cellStyle name="SAPBEXexcBad7 30 4" xfId="6779" xr:uid="{00000000-0005-0000-0000-0000EE1A0000}"/>
    <cellStyle name="SAPBEXexcBad7 30 5" xfId="6780" xr:uid="{00000000-0005-0000-0000-0000EF1A0000}"/>
    <cellStyle name="SAPBEXexcBad7 30 6" xfId="6781" xr:uid="{00000000-0005-0000-0000-0000F01A0000}"/>
    <cellStyle name="SAPBEXexcBad7 31" xfId="6782" xr:uid="{00000000-0005-0000-0000-0000F11A0000}"/>
    <cellStyle name="SAPBEXexcBad7 31 2" xfId="6783" xr:uid="{00000000-0005-0000-0000-0000F21A0000}"/>
    <cellStyle name="SAPBEXexcBad7 31 3" xfId="6784" xr:uid="{00000000-0005-0000-0000-0000F31A0000}"/>
    <cellStyle name="SAPBEXexcBad7 31 4" xfId="6785" xr:uid="{00000000-0005-0000-0000-0000F41A0000}"/>
    <cellStyle name="SAPBEXexcBad7 31 5" xfId="6786" xr:uid="{00000000-0005-0000-0000-0000F51A0000}"/>
    <cellStyle name="SAPBEXexcBad7 31 6" xfId="6787" xr:uid="{00000000-0005-0000-0000-0000F61A0000}"/>
    <cellStyle name="SAPBEXexcBad7 32" xfId="6788" xr:uid="{00000000-0005-0000-0000-0000F71A0000}"/>
    <cellStyle name="SAPBEXexcBad7 32 2" xfId="6789" xr:uid="{00000000-0005-0000-0000-0000F81A0000}"/>
    <cellStyle name="SAPBEXexcBad7 32 3" xfId="6790" xr:uid="{00000000-0005-0000-0000-0000F91A0000}"/>
    <cellStyle name="SAPBEXexcBad7 32 4" xfId="6791" xr:uid="{00000000-0005-0000-0000-0000FA1A0000}"/>
    <cellStyle name="SAPBEXexcBad7 32 5" xfId="6792" xr:uid="{00000000-0005-0000-0000-0000FB1A0000}"/>
    <cellStyle name="SAPBEXexcBad7 32 6" xfId="6793" xr:uid="{00000000-0005-0000-0000-0000FC1A0000}"/>
    <cellStyle name="SAPBEXexcBad7 33" xfId="6794" xr:uid="{00000000-0005-0000-0000-0000FD1A0000}"/>
    <cellStyle name="SAPBEXexcBad7 34" xfId="6795" xr:uid="{00000000-0005-0000-0000-0000FE1A0000}"/>
    <cellStyle name="SAPBEXexcBad7 35" xfId="6796" xr:uid="{00000000-0005-0000-0000-0000FF1A0000}"/>
    <cellStyle name="SAPBEXexcBad7 36" xfId="27830" xr:uid="{00000000-0005-0000-0000-0000001B0000}"/>
    <cellStyle name="SAPBEXexcBad7 37" xfId="27907" xr:uid="{00000000-0005-0000-0000-0000011B0000}"/>
    <cellStyle name="SAPBEXexcBad7 38" xfId="27973" xr:uid="{00000000-0005-0000-0000-0000021B0000}"/>
    <cellStyle name="SAPBEXexcBad7 39" xfId="28007" xr:uid="{00000000-0005-0000-0000-0000031B0000}"/>
    <cellStyle name="SAPBEXexcBad7 4" xfId="6797" xr:uid="{00000000-0005-0000-0000-0000041B0000}"/>
    <cellStyle name="SAPBEXexcBad7 4 2" xfId="6798" xr:uid="{00000000-0005-0000-0000-0000051B0000}"/>
    <cellStyle name="SAPBEXexcBad7 4 3" xfId="6799" xr:uid="{00000000-0005-0000-0000-0000061B0000}"/>
    <cellStyle name="SAPBEXexcBad7 4 4" xfId="6800" xr:uid="{00000000-0005-0000-0000-0000071B0000}"/>
    <cellStyle name="SAPBEXexcBad7 4 5" xfId="6801" xr:uid="{00000000-0005-0000-0000-0000081B0000}"/>
    <cellStyle name="SAPBEXexcBad7 4 6" xfId="6802" xr:uid="{00000000-0005-0000-0000-0000091B0000}"/>
    <cellStyle name="SAPBEXexcBad7 40" xfId="28145" xr:uid="{00000000-0005-0000-0000-00000A1B0000}"/>
    <cellStyle name="SAPBEXexcBad7 5" xfId="6803" xr:uid="{00000000-0005-0000-0000-00000B1B0000}"/>
    <cellStyle name="SAPBEXexcBad7 5 2" xfId="6804" xr:uid="{00000000-0005-0000-0000-00000C1B0000}"/>
    <cellStyle name="SAPBEXexcBad7 5 3" xfId="6805" xr:uid="{00000000-0005-0000-0000-00000D1B0000}"/>
    <cellStyle name="SAPBEXexcBad7 5 4" xfId="6806" xr:uid="{00000000-0005-0000-0000-00000E1B0000}"/>
    <cellStyle name="SAPBEXexcBad7 5 5" xfId="6807" xr:uid="{00000000-0005-0000-0000-00000F1B0000}"/>
    <cellStyle name="SAPBEXexcBad7 5 6" xfId="6808" xr:uid="{00000000-0005-0000-0000-0000101B0000}"/>
    <cellStyle name="SAPBEXexcBad7 6" xfId="6809" xr:uid="{00000000-0005-0000-0000-0000111B0000}"/>
    <cellStyle name="SAPBEXexcBad7 6 10" xfId="6810" xr:uid="{00000000-0005-0000-0000-0000121B0000}"/>
    <cellStyle name="SAPBEXexcBad7 6 2" xfId="6811" xr:uid="{00000000-0005-0000-0000-0000131B0000}"/>
    <cellStyle name="SAPBEXexcBad7 6 2 2" xfId="6812" xr:uid="{00000000-0005-0000-0000-0000141B0000}"/>
    <cellStyle name="SAPBEXexcBad7 6 2 3" xfId="6813" xr:uid="{00000000-0005-0000-0000-0000151B0000}"/>
    <cellStyle name="SAPBEXexcBad7 6 2 4" xfId="6814" xr:uid="{00000000-0005-0000-0000-0000161B0000}"/>
    <cellStyle name="SAPBEXexcBad7 6 3" xfId="6815" xr:uid="{00000000-0005-0000-0000-0000171B0000}"/>
    <cellStyle name="SAPBEXexcBad7 6 3 2" xfId="6816" xr:uid="{00000000-0005-0000-0000-0000181B0000}"/>
    <cellStyle name="SAPBEXexcBad7 6 3 3" xfId="6817" xr:uid="{00000000-0005-0000-0000-0000191B0000}"/>
    <cellStyle name="SAPBEXexcBad7 6 3 4" xfId="6818" xr:uid="{00000000-0005-0000-0000-00001A1B0000}"/>
    <cellStyle name="SAPBEXexcBad7 6 4" xfId="6819" xr:uid="{00000000-0005-0000-0000-00001B1B0000}"/>
    <cellStyle name="SAPBEXexcBad7 6 4 2" xfId="6820" xr:uid="{00000000-0005-0000-0000-00001C1B0000}"/>
    <cellStyle name="SAPBEXexcBad7 6 4 3" xfId="6821" xr:uid="{00000000-0005-0000-0000-00001D1B0000}"/>
    <cellStyle name="SAPBEXexcBad7 6 4 4" xfId="6822" xr:uid="{00000000-0005-0000-0000-00001E1B0000}"/>
    <cellStyle name="SAPBEXexcBad7 6 5" xfId="6823" xr:uid="{00000000-0005-0000-0000-00001F1B0000}"/>
    <cellStyle name="SAPBEXexcBad7 6 5 2" xfId="6824" xr:uid="{00000000-0005-0000-0000-0000201B0000}"/>
    <cellStyle name="SAPBEXexcBad7 6 5 3" xfId="6825" xr:uid="{00000000-0005-0000-0000-0000211B0000}"/>
    <cellStyle name="SAPBEXexcBad7 6 5 4" xfId="6826" xr:uid="{00000000-0005-0000-0000-0000221B0000}"/>
    <cellStyle name="SAPBEXexcBad7 6 6" xfId="6827" xr:uid="{00000000-0005-0000-0000-0000231B0000}"/>
    <cellStyle name="SAPBEXexcBad7 6 7" xfId="6828" xr:uid="{00000000-0005-0000-0000-0000241B0000}"/>
    <cellStyle name="SAPBEXexcBad7 6 8" xfId="6829" xr:uid="{00000000-0005-0000-0000-0000251B0000}"/>
    <cellStyle name="SAPBEXexcBad7 6 9" xfId="6830" xr:uid="{00000000-0005-0000-0000-0000261B0000}"/>
    <cellStyle name="SAPBEXexcBad7 7" xfId="6831" xr:uid="{00000000-0005-0000-0000-0000271B0000}"/>
    <cellStyle name="SAPBEXexcBad7 7 10" xfId="6832" xr:uid="{00000000-0005-0000-0000-0000281B0000}"/>
    <cellStyle name="SAPBEXexcBad7 7 2" xfId="6833" xr:uid="{00000000-0005-0000-0000-0000291B0000}"/>
    <cellStyle name="SAPBEXexcBad7 7 2 2" xfId="6834" xr:uid="{00000000-0005-0000-0000-00002A1B0000}"/>
    <cellStyle name="SAPBEXexcBad7 7 2 3" xfId="6835" xr:uid="{00000000-0005-0000-0000-00002B1B0000}"/>
    <cellStyle name="SAPBEXexcBad7 7 2 4" xfId="6836" xr:uid="{00000000-0005-0000-0000-00002C1B0000}"/>
    <cellStyle name="SAPBEXexcBad7 7 3" xfId="6837" xr:uid="{00000000-0005-0000-0000-00002D1B0000}"/>
    <cellStyle name="SAPBEXexcBad7 7 3 2" xfId="6838" xr:uid="{00000000-0005-0000-0000-00002E1B0000}"/>
    <cellStyle name="SAPBEXexcBad7 7 3 3" xfId="6839" xr:uid="{00000000-0005-0000-0000-00002F1B0000}"/>
    <cellStyle name="SAPBEXexcBad7 7 3 4" xfId="6840" xr:uid="{00000000-0005-0000-0000-0000301B0000}"/>
    <cellStyle name="SAPBEXexcBad7 7 4" xfId="6841" xr:uid="{00000000-0005-0000-0000-0000311B0000}"/>
    <cellStyle name="SAPBEXexcBad7 7 4 2" xfId="6842" xr:uid="{00000000-0005-0000-0000-0000321B0000}"/>
    <cellStyle name="SAPBEXexcBad7 7 4 3" xfId="6843" xr:uid="{00000000-0005-0000-0000-0000331B0000}"/>
    <cellStyle name="SAPBEXexcBad7 7 4 4" xfId="6844" xr:uid="{00000000-0005-0000-0000-0000341B0000}"/>
    <cellStyle name="SAPBEXexcBad7 7 5" xfId="6845" xr:uid="{00000000-0005-0000-0000-0000351B0000}"/>
    <cellStyle name="SAPBEXexcBad7 7 5 2" xfId="6846" xr:uid="{00000000-0005-0000-0000-0000361B0000}"/>
    <cellStyle name="SAPBEXexcBad7 7 5 3" xfId="6847" xr:uid="{00000000-0005-0000-0000-0000371B0000}"/>
    <cellStyle name="SAPBEXexcBad7 7 5 4" xfId="6848" xr:uid="{00000000-0005-0000-0000-0000381B0000}"/>
    <cellStyle name="SAPBEXexcBad7 7 6" xfId="6849" xr:uid="{00000000-0005-0000-0000-0000391B0000}"/>
    <cellStyle name="SAPBEXexcBad7 7 7" xfId="6850" xr:uid="{00000000-0005-0000-0000-00003A1B0000}"/>
    <cellStyle name="SAPBEXexcBad7 7 8" xfId="6851" xr:uid="{00000000-0005-0000-0000-00003B1B0000}"/>
    <cellStyle name="SAPBEXexcBad7 7 9" xfId="6852" xr:uid="{00000000-0005-0000-0000-00003C1B0000}"/>
    <cellStyle name="SAPBEXexcBad7 8" xfId="6853" xr:uid="{00000000-0005-0000-0000-00003D1B0000}"/>
    <cellStyle name="SAPBEXexcBad7 8 2" xfId="6854" xr:uid="{00000000-0005-0000-0000-00003E1B0000}"/>
    <cellStyle name="SAPBEXexcBad7 8 3" xfId="6855" xr:uid="{00000000-0005-0000-0000-00003F1B0000}"/>
    <cellStyle name="SAPBEXexcBad7 8 4" xfId="6856" xr:uid="{00000000-0005-0000-0000-0000401B0000}"/>
    <cellStyle name="SAPBEXexcBad7 8 5" xfId="6857" xr:uid="{00000000-0005-0000-0000-0000411B0000}"/>
    <cellStyle name="SAPBEXexcBad7 8 6" xfId="6858" xr:uid="{00000000-0005-0000-0000-0000421B0000}"/>
    <cellStyle name="SAPBEXexcBad7 9" xfId="6859" xr:uid="{00000000-0005-0000-0000-0000431B0000}"/>
    <cellStyle name="SAPBEXexcBad7 9 2" xfId="6860" xr:uid="{00000000-0005-0000-0000-0000441B0000}"/>
    <cellStyle name="SAPBEXexcBad7 9 3" xfId="6861" xr:uid="{00000000-0005-0000-0000-0000451B0000}"/>
    <cellStyle name="SAPBEXexcBad7 9 4" xfId="6862" xr:uid="{00000000-0005-0000-0000-0000461B0000}"/>
    <cellStyle name="SAPBEXexcBad7 9 5" xfId="6863" xr:uid="{00000000-0005-0000-0000-0000471B0000}"/>
    <cellStyle name="SAPBEXexcBad7 9 6" xfId="6864" xr:uid="{00000000-0005-0000-0000-0000481B0000}"/>
    <cellStyle name="SAPBEXexcBad7_Receipts" xfId="6865" xr:uid="{00000000-0005-0000-0000-0000491B0000}"/>
    <cellStyle name="SAPBEXexcBad8" xfId="6866" xr:uid="{00000000-0005-0000-0000-00004A1B0000}"/>
    <cellStyle name="SAPBEXexcBad8 10" xfId="6867" xr:uid="{00000000-0005-0000-0000-00004B1B0000}"/>
    <cellStyle name="SAPBEXexcBad8 10 2" xfId="6868" xr:uid="{00000000-0005-0000-0000-00004C1B0000}"/>
    <cellStyle name="SAPBEXexcBad8 10 3" xfId="6869" xr:uid="{00000000-0005-0000-0000-00004D1B0000}"/>
    <cellStyle name="SAPBEXexcBad8 10 4" xfId="6870" xr:uid="{00000000-0005-0000-0000-00004E1B0000}"/>
    <cellStyle name="SAPBEXexcBad8 10 5" xfId="6871" xr:uid="{00000000-0005-0000-0000-00004F1B0000}"/>
    <cellStyle name="SAPBEXexcBad8 10 6" xfId="6872" xr:uid="{00000000-0005-0000-0000-0000501B0000}"/>
    <cellStyle name="SAPBEXexcBad8 11" xfId="6873" xr:uid="{00000000-0005-0000-0000-0000511B0000}"/>
    <cellStyle name="SAPBEXexcBad8 11 2" xfId="6874" xr:uid="{00000000-0005-0000-0000-0000521B0000}"/>
    <cellStyle name="SAPBEXexcBad8 11 3" xfId="6875" xr:uid="{00000000-0005-0000-0000-0000531B0000}"/>
    <cellStyle name="SAPBEXexcBad8 11 4" xfId="6876" xr:uid="{00000000-0005-0000-0000-0000541B0000}"/>
    <cellStyle name="SAPBEXexcBad8 11 5" xfId="6877" xr:uid="{00000000-0005-0000-0000-0000551B0000}"/>
    <cellStyle name="SAPBEXexcBad8 11 6" xfId="6878" xr:uid="{00000000-0005-0000-0000-0000561B0000}"/>
    <cellStyle name="SAPBEXexcBad8 12" xfId="6879" xr:uid="{00000000-0005-0000-0000-0000571B0000}"/>
    <cellStyle name="SAPBEXexcBad8 12 2" xfId="6880" xr:uid="{00000000-0005-0000-0000-0000581B0000}"/>
    <cellStyle name="SAPBEXexcBad8 12 3" xfId="6881" xr:uid="{00000000-0005-0000-0000-0000591B0000}"/>
    <cellStyle name="SAPBEXexcBad8 12 4" xfId="6882" xr:uid="{00000000-0005-0000-0000-00005A1B0000}"/>
    <cellStyle name="SAPBEXexcBad8 12 5" xfId="6883" xr:uid="{00000000-0005-0000-0000-00005B1B0000}"/>
    <cellStyle name="SAPBEXexcBad8 12 6" xfId="6884" xr:uid="{00000000-0005-0000-0000-00005C1B0000}"/>
    <cellStyle name="SAPBEXexcBad8 13" xfId="6885" xr:uid="{00000000-0005-0000-0000-00005D1B0000}"/>
    <cellStyle name="SAPBEXexcBad8 13 2" xfId="6886" xr:uid="{00000000-0005-0000-0000-00005E1B0000}"/>
    <cellStyle name="SAPBEXexcBad8 13 3" xfId="6887" xr:uid="{00000000-0005-0000-0000-00005F1B0000}"/>
    <cellStyle name="SAPBEXexcBad8 13 4" xfId="6888" xr:uid="{00000000-0005-0000-0000-0000601B0000}"/>
    <cellStyle name="SAPBEXexcBad8 13 5" xfId="6889" xr:uid="{00000000-0005-0000-0000-0000611B0000}"/>
    <cellStyle name="SAPBEXexcBad8 13 6" xfId="6890" xr:uid="{00000000-0005-0000-0000-0000621B0000}"/>
    <cellStyle name="SAPBEXexcBad8 14" xfId="6891" xr:uid="{00000000-0005-0000-0000-0000631B0000}"/>
    <cellStyle name="SAPBEXexcBad8 14 2" xfId="6892" xr:uid="{00000000-0005-0000-0000-0000641B0000}"/>
    <cellStyle name="SAPBEXexcBad8 14 3" xfId="6893" xr:uid="{00000000-0005-0000-0000-0000651B0000}"/>
    <cellStyle name="SAPBEXexcBad8 14 4" xfId="6894" xr:uid="{00000000-0005-0000-0000-0000661B0000}"/>
    <cellStyle name="SAPBEXexcBad8 14 5" xfId="6895" xr:uid="{00000000-0005-0000-0000-0000671B0000}"/>
    <cellStyle name="SAPBEXexcBad8 14 6" xfId="6896" xr:uid="{00000000-0005-0000-0000-0000681B0000}"/>
    <cellStyle name="SAPBEXexcBad8 15" xfId="6897" xr:uid="{00000000-0005-0000-0000-0000691B0000}"/>
    <cellStyle name="SAPBEXexcBad8 15 2" xfId="6898" xr:uid="{00000000-0005-0000-0000-00006A1B0000}"/>
    <cellStyle name="SAPBEXexcBad8 15 3" xfId="6899" xr:uid="{00000000-0005-0000-0000-00006B1B0000}"/>
    <cellStyle name="SAPBEXexcBad8 15 4" xfId="6900" xr:uid="{00000000-0005-0000-0000-00006C1B0000}"/>
    <cellStyle name="SAPBEXexcBad8 15 5" xfId="6901" xr:uid="{00000000-0005-0000-0000-00006D1B0000}"/>
    <cellStyle name="SAPBEXexcBad8 15 6" xfId="6902" xr:uid="{00000000-0005-0000-0000-00006E1B0000}"/>
    <cellStyle name="SAPBEXexcBad8 16" xfId="6903" xr:uid="{00000000-0005-0000-0000-00006F1B0000}"/>
    <cellStyle name="SAPBEXexcBad8 16 2" xfId="6904" xr:uid="{00000000-0005-0000-0000-0000701B0000}"/>
    <cellStyle name="SAPBEXexcBad8 16 3" xfId="6905" xr:uid="{00000000-0005-0000-0000-0000711B0000}"/>
    <cellStyle name="SAPBEXexcBad8 16 4" xfId="6906" xr:uid="{00000000-0005-0000-0000-0000721B0000}"/>
    <cellStyle name="SAPBEXexcBad8 16 5" xfId="6907" xr:uid="{00000000-0005-0000-0000-0000731B0000}"/>
    <cellStyle name="SAPBEXexcBad8 16 6" xfId="6908" xr:uid="{00000000-0005-0000-0000-0000741B0000}"/>
    <cellStyle name="SAPBEXexcBad8 17" xfId="6909" xr:uid="{00000000-0005-0000-0000-0000751B0000}"/>
    <cellStyle name="SAPBEXexcBad8 17 2" xfId="6910" xr:uid="{00000000-0005-0000-0000-0000761B0000}"/>
    <cellStyle name="SAPBEXexcBad8 17 3" xfId="6911" xr:uid="{00000000-0005-0000-0000-0000771B0000}"/>
    <cellStyle name="SAPBEXexcBad8 17 4" xfId="6912" xr:uid="{00000000-0005-0000-0000-0000781B0000}"/>
    <cellStyle name="SAPBEXexcBad8 17 5" xfId="6913" xr:uid="{00000000-0005-0000-0000-0000791B0000}"/>
    <cellStyle name="SAPBEXexcBad8 17 6" xfId="6914" xr:uid="{00000000-0005-0000-0000-00007A1B0000}"/>
    <cellStyle name="SAPBEXexcBad8 18" xfId="6915" xr:uid="{00000000-0005-0000-0000-00007B1B0000}"/>
    <cellStyle name="SAPBEXexcBad8 18 2" xfId="6916" xr:uid="{00000000-0005-0000-0000-00007C1B0000}"/>
    <cellStyle name="SAPBEXexcBad8 18 3" xfId="6917" xr:uid="{00000000-0005-0000-0000-00007D1B0000}"/>
    <cellStyle name="SAPBEXexcBad8 18 4" xfId="6918" xr:uid="{00000000-0005-0000-0000-00007E1B0000}"/>
    <cellStyle name="SAPBEXexcBad8 18 5" xfId="6919" xr:uid="{00000000-0005-0000-0000-00007F1B0000}"/>
    <cellStyle name="SAPBEXexcBad8 18 6" xfId="6920" xr:uid="{00000000-0005-0000-0000-0000801B0000}"/>
    <cellStyle name="SAPBEXexcBad8 19" xfId="6921" xr:uid="{00000000-0005-0000-0000-0000811B0000}"/>
    <cellStyle name="SAPBEXexcBad8 19 2" xfId="6922" xr:uid="{00000000-0005-0000-0000-0000821B0000}"/>
    <cellStyle name="SAPBEXexcBad8 19 3" xfId="6923" xr:uid="{00000000-0005-0000-0000-0000831B0000}"/>
    <cellStyle name="SAPBEXexcBad8 19 4" xfId="6924" xr:uid="{00000000-0005-0000-0000-0000841B0000}"/>
    <cellStyle name="SAPBEXexcBad8 19 5" xfId="6925" xr:uid="{00000000-0005-0000-0000-0000851B0000}"/>
    <cellStyle name="SAPBEXexcBad8 19 6" xfId="6926" xr:uid="{00000000-0005-0000-0000-0000861B0000}"/>
    <cellStyle name="SAPBEXexcBad8 2" xfId="6927" xr:uid="{00000000-0005-0000-0000-0000871B0000}"/>
    <cellStyle name="SAPBEXexcBad8 2 10" xfId="6928" xr:uid="{00000000-0005-0000-0000-0000881B0000}"/>
    <cellStyle name="SAPBEXexcBad8 2 10 2" xfId="6929" xr:uid="{00000000-0005-0000-0000-0000891B0000}"/>
    <cellStyle name="SAPBEXexcBad8 2 10 3" xfId="6930" xr:uid="{00000000-0005-0000-0000-00008A1B0000}"/>
    <cellStyle name="SAPBEXexcBad8 2 10 4" xfId="6931" xr:uid="{00000000-0005-0000-0000-00008B1B0000}"/>
    <cellStyle name="SAPBEXexcBad8 2 11" xfId="6932" xr:uid="{00000000-0005-0000-0000-00008C1B0000}"/>
    <cellStyle name="SAPBEXexcBad8 2 11 2" xfId="6933" xr:uid="{00000000-0005-0000-0000-00008D1B0000}"/>
    <cellStyle name="SAPBEXexcBad8 2 11 3" xfId="6934" xr:uid="{00000000-0005-0000-0000-00008E1B0000}"/>
    <cellStyle name="SAPBEXexcBad8 2 11 4" xfId="6935" xr:uid="{00000000-0005-0000-0000-00008F1B0000}"/>
    <cellStyle name="SAPBEXexcBad8 2 12" xfId="6936" xr:uid="{00000000-0005-0000-0000-0000901B0000}"/>
    <cellStyle name="SAPBEXexcBad8 2 12 2" xfId="6937" xr:uid="{00000000-0005-0000-0000-0000911B0000}"/>
    <cellStyle name="SAPBEXexcBad8 2 12 3" xfId="6938" xr:uid="{00000000-0005-0000-0000-0000921B0000}"/>
    <cellStyle name="SAPBEXexcBad8 2 12 4" xfId="6939" xr:uid="{00000000-0005-0000-0000-0000931B0000}"/>
    <cellStyle name="SAPBEXexcBad8 2 13" xfId="6940" xr:uid="{00000000-0005-0000-0000-0000941B0000}"/>
    <cellStyle name="SAPBEXexcBad8 2 13 2" xfId="6941" xr:uid="{00000000-0005-0000-0000-0000951B0000}"/>
    <cellStyle name="SAPBEXexcBad8 2 13 3" xfId="6942" xr:uid="{00000000-0005-0000-0000-0000961B0000}"/>
    <cellStyle name="SAPBEXexcBad8 2 13 4" xfId="6943" xr:uid="{00000000-0005-0000-0000-0000971B0000}"/>
    <cellStyle name="SAPBEXexcBad8 2 14" xfId="6944" xr:uid="{00000000-0005-0000-0000-0000981B0000}"/>
    <cellStyle name="SAPBEXexcBad8 2 15" xfId="6945" xr:uid="{00000000-0005-0000-0000-0000991B0000}"/>
    <cellStyle name="SAPBEXexcBad8 2 16" xfId="6946" xr:uid="{00000000-0005-0000-0000-00009A1B0000}"/>
    <cellStyle name="SAPBEXexcBad8 2 17" xfId="6947" xr:uid="{00000000-0005-0000-0000-00009B1B0000}"/>
    <cellStyle name="SAPBEXexcBad8 2 18" xfId="6948" xr:uid="{00000000-0005-0000-0000-00009C1B0000}"/>
    <cellStyle name="SAPBEXexcBad8 2 2" xfId="6949" xr:uid="{00000000-0005-0000-0000-00009D1B0000}"/>
    <cellStyle name="SAPBEXexcBad8 2 2 2" xfId="6950" xr:uid="{00000000-0005-0000-0000-00009E1B0000}"/>
    <cellStyle name="SAPBEXexcBad8 2 2 2 2" xfId="6951" xr:uid="{00000000-0005-0000-0000-00009F1B0000}"/>
    <cellStyle name="SAPBEXexcBad8 2 2 2 3" xfId="6952" xr:uid="{00000000-0005-0000-0000-0000A01B0000}"/>
    <cellStyle name="SAPBEXexcBad8 2 2 2 4" xfId="6953" xr:uid="{00000000-0005-0000-0000-0000A11B0000}"/>
    <cellStyle name="SAPBEXexcBad8 2 2 2 5" xfId="6954" xr:uid="{00000000-0005-0000-0000-0000A21B0000}"/>
    <cellStyle name="SAPBEXexcBad8 2 2 2 6" xfId="6955" xr:uid="{00000000-0005-0000-0000-0000A31B0000}"/>
    <cellStyle name="SAPBEXexcBad8 2 2 3" xfId="6956" xr:uid="{00000000-0005-0000-0000-0000A41B0000}"/>
    <cellStyle name="SAPBEXexcBad8 2 2 3 2" xfId="6957" xr:uid="{00000000-0005-0000-0000-0000A51B0000}"/>
    <cellStyle name="SAPBEXexcBad8 2 2 3 3" xfId="6958" xr:uid="{00000000-0005-0000-0000-0000A61B0000}"/>
    <cellStyle name="SAPBEXexcBad8 2 2 3 4" xfId="6959" xr:uid="{00000000-0005-0000-0000-0000A71B0000}"/>
    <cellStyle name="SAPBEXexcBad8 2 2 3 5" xfId="6960" xr:uid="{00000000-0005-0000-0000-0000A81B0000}"/>
    <cellStyle name="SAPBEXexcBad8 2 2 3 6" xfId="6961" xr:uid="{00000000-0005-0000-0000-0000A91B0000}"/>
    <cellStyle name="SAPBEXexcBad8 2 2 4" xfId="6962" xr:uid="{00000000-0005-0000-0000-0000AA1B0000}"/>
    <cellStyle name="SAPBEXexcBad8 2 2 4 2" xfId="6963" xr:uid="{00000000-0005-0000-0000-0000AB1B0000}"/>
    <cellStyle name="SAPBEXexcBad8 2 2 4 3" xfId="6964" xr:uid="{00000000-0005-0000-0000-0000AC1B0000}"/>
    <cellStyle name="SAPBEXexcBad8 2 2 4 4" xfId="6965" xr:uid="{00000000-0005-0000-0000-0000AD1B0000}"/>
    <cellStyle name="SAPBEXexcBad8 2 2 4 5" xfId="6966" xr:uid="{00000000-0005-0000-0000-0000AE1B0000}"/>
    <cellStyle name="SAPBEXexcBad8 2 2 4 6" xfId="6967" xr:uid="{00000000-0005-0000-0000-0000AF1B0000}"/>
    <cellStyle name="SAPBEXexcBad8 2 2 5" xfId="6968" xr:uid="{00000000-0005-0000-0000-0000B01B0000}"/>
    <cellStyle name="SAPBEXexcBad8 2 2 5 2" xfId="6969" xr:uid="{00000000-0005-0000-0000-0000B11B0000}"/>
    <cellStyle name="SAPBEXexcBad8 2 2 5 3" xfId="6970" xr:uid="{00000000-0005-0000-0000-0000B21B0000}"/>
    <cellStyle name="SAPBEXexcBad8 2 2 5 4" xfId="6971" xr:uid="{00000000-0005-0000-0000-0000B31B0000}"/>
    <cellStyle name="SAPBEXexcBad8 2 2 5 5" xfId="6972" xr:uid="{00000000-0005-0000-0000-0000B41B0000}"/>
    <cellStyle name="SAPBEXexcBad8 2 2 5 6" xfId="6973" xr:uid="{00000000-0005-0000-0000-0000B51B0000}"/>
    <cellStyle name="SAPBEXexcBad8 2 2 6" xfId="6974" xr:uid="{00000000-0005-0000-0000-0000B61B0000}"/>
    <cellStyle name="SAPBEXexcBad8 2 2 7" xfId="6975" xr:uid="{00000000-0005-0000-0000-0000B71B0000}"/>
    <cellStyle name="SAPBEXexcBad8 2 2 8" xfId="6976" xr:uid="{00000000-0005-0000-0000-0000B81B0000}"/>
    <cellStyle name="SAPBEXexcBad8 2 3" xfId="6977" xr:uid="{00000000-0005-0000-0000-0000B91B0000}"/>
    <cellStyle name="SAPBEXexcBad8 2 3 2" xfId="6978" xr:uid="{00000000-0005-0000-0000-0000BA1B0000}"/>
    <cellStyle name="SAPBEXexcBad8 2 3 2 2" xfId="6979" xr:uid="{00000000-0005-0000-0000-0000BB1B0000}"/>
    <cellStyle name="SAPBEXexcBad8 2 3 2 3" xfId="6980" xr:uid="{00000000-0005-0000-0000-0000BC1B0000}"/>
    <cellStyle name="SAPBEXexcBad8 2 3 2 4" xfId="6981" xr:uid="{00000000-0005-0000-0000-0000BD1B0000}"/>
    <cellStyle name="SAPBEXexcBad8 2 3 2 5" xfId="6982" xr:uid="{00000000-0005-0000-0000-0000BE1B0000}"/>
    <cellStyle name="SAPBEXexcBad8 2 3 2 6" xfId="6983" xr:uid="{00000000-0005-0000-0000-0000BF1B0000}"/>
    <cellStyle name="SAPBEXexcBad8 2 3 3" xfId="6984" xr:uid="{00000000-0005-0000-0000-0000C01B0000}"/>
    <cellStyle name="SAPBEXexcBad8 2 3 3 2" xfId="6985" xr:uid="{00000000-0005-0000-0000-0000C11B0000}"/>
    <cellStyle name="SAPBEXexcBad8 2 3 3 3" xfId="6986" xr:uid="{00000000-0005-0000-0000-0000C21B0000}"/>
    <cellStyle name="SAPBEXexcBad8 2 3 3 4" xfId="6987" xr:uid="{00000000-0005-0000-0000-0000C31B0000}"/>
    <cellStyle name="SAPBEXexcBad8 2 3 3 5" xfId="6988" xr:uid="{00000000-0005-0000-0000-0000C41B0000}"/>
    <cellStyle name="SAPBEXexcBad8 2 3 3 6" xfId="6989" xr:uid="{00000000-0005-0000-0000-0000C51B0000}"/>
    <cellStyle name="SAPBEXexcBad8 2 3 4" xfId="6990" xr:uid="{00000000-0005-0000-0000-0000C61B0000}"/>
    <cellStyle name="SAPBEXexcBad8 2 3 4 2" xfId="6991" xr:uid="{00000000-0005-0000-0000-0000C71B0000}"/>
    <cellStyle name="SAPBEXexcBad8 2 3 4 3" xfId="6992" xr:uid="{00000000-0005-0000-0000-0000C81B0000}"/>
    <cellStyle name="SAPBEXexcBad8 2 3 4 4" xfId="6993" xr:uid="{00000000-0005-0000-0000-0000C91B0000}"/>
    <cellStyle name="SAPBEXexcBad8 2 3 4 5" xfId="6994" xr:uid="{00000000-0005-0000-0000-0000CA1B0000}"/>
    <cellStyle name="SAPBEXexcBad8 2 3 4 6" xfId="6995" xr:uid="{00000000-0005-0000-0000-0000CB1B0000}"/>
    <cellStyle name="SAPBEXexcBad8 2 3 5" xfId="6996" xr:uid="{00000000-0005-0000-0000-0000CC1B0000}"/>
    <cellStyle name="SAPBEXexcBad8 2 3 5 2" xfId="6997" xr:uid="{00000000-0005-0000-0000-0000CD1B0000}"/>
    <cellStyle name="SAPBEXexcBad8 2 3 5 3" xfId="6998" xr:uid="{00000000-0005-0000-0000-0000CE1B0000}"/>
    <cellStyle name="SAPBEXexcBad8 2 3 5 4" xfId="6999" xr:uid="{00000000-0005-0000-0000-0000CF1B0000}"/>
    <cellStyle name="SAPBEXexcBad8 2 3 5 5" xfId="7000" xr:uid="{00000000-0005-0000-0000-0000D01B0000}"/>
    <cellStyle name="SAPBEXexcBad8 2 3 5 6" xfId="7001" xr:uid="{00000000-0005-0000-0000-0000D11B0000}"/>
    <cellStyle name="SAPBEXexcBad8 2 3 6" xfId="7002" xr:uid="{00000000-0005-0000-0000-0000D21B0000}"/>
    <cellStyle name="SAPBEXexcBad8 2 3 7" xfId="7003" xr:uid="{00000000-0005-0000-0000-0000D31B0000}"/>
    <cellStyle name="SAPBEXexcBad8 2 3 8" xfId="7004" xr:uid="{00000000-0005-0000-0000-0000D41B0000}"/>
    <cellStyle name="SAPBEXexcBad8 2 4" xfId="7005" xr:uid="{00000000-0005-0000-0000-0000D51B0000}"/>
    <cellStyle name="SAPBEXexcBad8 2 4 2" xfId="7006" xr:uid="{00000000-0005-0000-0000-0000D61B0000}"/>
    <cellStyle name="SAPBEXexcBad8 2 4 2 2" xfId="7007" xr:uid="{00000000-0005-0000-0000-0000D71B0000}"/>
    <cellStyle name="SAPBEXexcBad8 2 4 2 3" xfId="7008" xr:uid="{00000000-0005-0000-0000-0000D81B0000}"/>
    <cellStyle name="SAPBEXexcBad8 2 4 2 4" xfId="7009" xr:uid="{00000000-0005-0000-0000-0000D91B0000}"/>
    <cellStyle name="SAPBEXexcBad8 2 4 2 5" xfId="7010" xr:uid="{00000000-0005-0000-0000-0000DA1B0000}"/>
    <cellStyle name="SAPBEXexcBad8 2 4 2 6" xfId="7011" xr:uid="{00000000-0005-0000-0000-0000DB1B0000}"/>
    <cellStyle name="SAPBEXexcBad8 2 4 3" xfId="7012" xr:uid="{00000000-0005-0000-0000-0000DC1B0000}"/>
    <cellStyle name="SAPBEXexcBad8 2 4 3 2" xfId="7013" xr:uid="{00000000-0005-0000-0000-0000DD1B0000}"/>
    <cellStyle name="SAPBEXexcBad8 2 4 3 3" xfId="7014" xr:uid="{00000000-0005-0000-0000-0000DE1B0000}"/>
    <cellStyle name="SAPBEXexcBad8 2 4 3 4" xfId="7015" xr:uid="{00000000-0005-0000-0000-0000DF1B0000}"/>
    <cellStyle name="SAPBEXexcBad8 2 4 3 5" xfId="7016" xr:uid="{00000000-0005-0000-0000-0000E01B0000}"/>
    <cellStyle name="SAPBEXexcBad8 2 4 3 6" xfId="7017" xr:uid="{00000000-0005-0000-0000-0000E11B0000}"/>
    <cellStyle name="SAPBEXexcBad8 2 4 4" xfId="7018" xr:uid="{00000000-0005-0000-0000-0000E21B0000}"/>
    <cellStyle name="SAPBEXexcBad8 2 4 4 2" xfId="7019" xr:uid="{00000000-0005-0000-0000-0000E31B0000}"/>
    <cellStyle name="SAPBEXexcBad8 2 4 4 3" xfId="7020" xr:uid="{00000000-0005-0000-0000-0000E41B0000}"/>
    <cellStyle name="SAPBEXexcBad8 2 4 4 4" xfId="7021" xr:uid="{00000000-0005-0000-0000-0000E51B0000}"/>
    <cellStyle name="SAPBEXexcBad8 2 4 4 5" xfId="7022" xr:uid="{00000000-0005-0000-0000-0000E61B0000}"/>
    <cellStyle name="SAPBEXexcBad8 2 4 4 6" xfId="7023" xr:uid="{00000000-0005-0000-0000-0000E71B0000}"/>
    <cellStyle name="SAPBEXexcBad8 2 4 5" xfId="7024" xr:uid="{00000000-0005-0000-0000-0000E81B0000}"/>
    <cellStyle name="SAPBEXexcBad8 2 4 5 2" xfId="7025" xr:uid="{00000000-0005-0000-0000-0000E91B0000}"/>
    <cellStyle name="SAPBEXexcBad8 2 4 5 3" xfId="7026" xr:uid="{00000000-0005-0000-0000-0000EA1B0000}"/>
    <cellStyle name="SAPBEXexcBad8 2 4 5 4" xfId="7027" xr:uid="{00000000-0005-0000-0000-0000EB1B0000}"/>
    <cellStyle name="SAPBEXexcBad8 2 4 5 5" xfId="7028" xr:uid="{00000000-0005-0000-0000-0000EC1B0000}"/>
    <cellStyle name="SAPBEXexcBad8 2 4 5 6" xfId="7029" xr:uid="{00000000-0005-0000-0000-0000ED1B0000}"/>
    <cellStyle name="SAPBEXexcBad8 2 4 6" xfId="7030" xr:uid="{00000000-0005-0000-0000-0000EE1B0000}"/>
    <cellStyle name="SAPBEXexcBad8 2 4 7" xfId="7031" xr:uid="{00000000-0005-0000-0000-0000EF1B0000}"/>
    <cellStyle name="SAPBEXexcBad8 2 4 8" xfId="7032" xr:uid="{00000000-0005-0000-0000-0000F01B0000}"/>
    <cellStyle name="SAPBEXexcBad8 2 5" xfId="7033" xr:uid="{00000000-0005-0000-0000-0000F11B0000}"/>
    <cellStyle name="SAPBEXexcBad8 2 5 2" xfId="7034" xr:uid="{00000000-0005-0000-0000-0000F21B0000}"/>
    <cellStyle name="SAPBEXexcBad8 2 5 3" xfId="7035" xr:uid="{00000000-0005-0000-0000-0000F31B0000}"/>
    <cellStyle name="SAPBEXexcBad8 2 5 4" xfId="7036" xr:uid="{00000000-0005-0000-0000-0000F41B0000}"/>
    <cellStyle name="SAPBEXexcBad8 2 6" xfId="7037" xr:uid="{00000000-0005-0000-0000-0000F51B0000}"/>
    <cellStyle name="SAPBEXexcBad8 2 6 2" xfId="7038" xr:uid="{00000000-0005-0000-0000-0000F61B0000}"/>
    <cellStyle name="SAPBEXexcBad8 2 6 3" xfId="7039" xr:uid="{00000000-0005-0000-0000-0000F71B0000}"/>
    <cellStyle name="SAPBEXexcBad8 2 6 4" xfId="7040" xr:uid="{00000000-0005-0000-0000-0000F81B0000}"/>
    <cellStyle name="SAPBEXexcBad8 2 7" xfId="7041" xr:uid="{00000000-0005-0000-0000-0000F91B0000}"/>
    <cellStyle name="SAPBEXexcBad8 2 7 2" xfId="7042" xr:uid="{00000000-0005-0000-0000-0000FA1B0000}"/>
    <cellStyle name="SAPBEXexcBad8 2 7 3" xfId="7043" xr:uid="{00000000-0005-0000-0000-0000FB1B0000}"/>
    <cellStyle name="SAPBEXexcBad8 2 7 4" xfId="7044" xr:uid="{00000000-0005-0000-0000-0000FC1B0000}"/>
    <cellStyle name="SAPBEXexcBad8 2 8" xfId="7045" xr:uid="{00000000-0005-0000-0000-0000FD1B0000}"/>
    <cellStyle name="SAPBEXexcBad8 2 8 2" xfId="7046" xr:uid="{00000000-0005-0000-0000-0000FE1B0000}"/>
    <cellStyle name="SAPBEXexcBad8 2 8 3" xfId="7047" xr:uid="{00000000-0005-0000-0000-0000FF1B0000}"/>
    <cellStyle name="SAPBEXexcBad8 2 8 4" xfId="7048" xr:uid="{00000000-0005-0000-0000-0000001C0000}"/>
    <cellStyle name="SAPBEXexcBad8 2 9" xfId="7049" xr:uid="{00000000-0005-0000-0000-0000011C0000}"/>
    <cellStyle name="SAPBEXexcBad8 2 9 2" xfId="7050" xr:uid="{00000000-0005-0000-0000-0000021C0000}"/>
    <cellStyle name="SAPBEXexcBad8 2 9 3" xfId="7051" xr:uid="{00000000-0005-0000-0000-0000031C0000}"/>
    <cellStyle name="SAPBEXexcBad8 2 9 4" xfId="7052" xr:uid="{00000000-0005-0000-0000-0000041C0000}"/>
    <cellStyle name="SAPBEXexcBad8 20" xfId="7053" xr:uid="{00000000-0005-0000-0000-0000051C0000}"/>
    <cellStyle name="SAPBEXexcBad8 20 2" xfId="7054" xr:uid="{00000000-0005-0000-0000-0000061C0000}"/>
    <cellStyle name="SAPBEXexcBad8 20 3" xfId="7055" xr:uid="{00000000-0005-0000-0000-0000071C0000}"/>
    <cellStyle name="SAPBEXexcBad8 20 4" xfId="7056" xr:uid="{00000000-0005-0000-0000-0000081C0000}"/>
    <cellStyle name="SAPBEXexcBad8 20 5" xfId="7057" xr:uid="{00000000-0005-0000-0000-0000091C0000}"/>
    <cellStyle name="SAPBEXexcBad8 20 6" xfId="7058" xr:uid="{00000000-0005-0000-0000-00000A1C0000}"/>
    <cellStyle name="SAPBEXexcBad8 21" xfId="7059" xr:uid="{00000000-0005-0000-0000-00000B1C0000}"/>
    <cellStyle name="SAPBEXexcBad8 21 2" xfId="7060" xr:uid="{00000000-0005-0000-0000-00000C1C0000}"/>
    <cellStyle name="SAPBEXexcBad8 21 3" xfId="7061" xr:uid="{00000000-0005-0000-0000-00000D1C0000}"/>
    <cellStyle name="SAPBEXexcBad8 21 4" xfId="7062" xr:uid="{00000000-0005-0000-0000-00000E1C0000}"/>
    <cellStyle name="SAPBEXexcBad8 21 5" xfId="7063" xr:uid="{00000000-0005-0000-0000-00000F1C0000}"/>
    <cellStyle name="SAPBEXexcBad8 21 6" xfId="7064" xr:uid="{00000000-0005-0000-0000-0000101C0000}"/>
    <cellStyle name="SAPBEXexcBad8 22" xfId="7065" xr:uid="{00000000-0005-0000-0000-0000111C0000}"/>
    <cellStyle name="SAPBEXexcBad8 22 2" xfId="7066" xr:uid="{00000000-0005-0000-0000-0000121C0000}"/>
    <cellStyle name="SAPBEXexcBad8 22 3" xfId="7067" xr:uid="{00000000-0005-0000-0000-0000131C0000}"/>
    <cellStyle name="SAPBEXexcBad8 22 4" xfId="7068" xr:uid="{00000000-0005-0000-0000-0000141C0000}"/>
    <cellStyle name="SAPBEXexcBad8 22 5" xfId="7069" xr:uid="{00000000-0005-0000-0000-0000151C0000}"/>
    <cellStyle name="SAPBEXexcBad8 22 6" xfId="7070" xr:uid="{00000000-0005-0000-0000-0000161C0000}"/>
    <cellStyle name="SAPBEXexcBad8 23" xfId="7071" xr:uid="{00000000-0005-0000-0000-0000171C0000}"/>
    <cellStyle name="SAPBEXexcBad8 23 2" xfId="7072" xr:uid="{00000000-0005-0000-0000-0000181C0000}"/>
    <cellStyle name="SAPBEXexcBad8 23 3" xfId="7073" xr:uid="{00000000-0005-0000-0000-0000191C0000}"/>
    <cellStyle name="SAPBEXexcBad8 23 4" xfId="7074" xr:uid="{00000000-0005-0000-0000-00001A1C0000}"/>
    <cellStyle name="SAPBEXexcBad8 23 5" xfId="7075" xr:uid="{00000000-0005-0000-0000-00001B1C0000}"/>
    <cellStyle name="SAPBEXexcBad8 23 6" xfId="7076" xr:uid="{00000000-0005-0000-0000-00001C1C0000}"/>
    <cellStyle name="SAPBEXexcBad8 24" xfId="7077" xr:uid="{00000000-0005-0000-0000-00001D1C0000}"/>
    <cellStyle name="SAPBEXexcBad8 24 2" xfId="7078" xr:uid="{00000000-0005-0000-0000-00001E1C0000}"/>
    <cellStyle name="SAPBEXexcBad8 24 3" xfId="7079" xr:uid="{00000000-0005-0000-0000-00001F1C0000}"/>
    <cellStyle name="SAPBEXexcBad8 24 4" xfId="7080" xr:uid="{00000000-0005-0000-0000-0000201C0000}"/>
    <cellStyle name="SAPBEXexcBad8 24 5" xfId="7081" xr:uid="{00000000-0005-0000-0000-0000211C0000}"/>
    <cellStyle name="SAPBEXexcBad8 24 6" xfId="7082" xr:uid="{00000000-0005-0000-0000-0000221C0000}"/>
    <cellStyle name="SAPBEXexcBad8 25" xfId="7083" xr:uid="{00000000-0005-0000-0000-0000231C0000}"/>
    <cellStyle name="SAPBEXexcBad8 25 2" xfId="7084" xr:uid="{00000000-0005-0000-0000-0000241C0000}"/>
    <cellStyle name="SAPBEXexcBad8 25 3" xfId="7085" xr:uid="{00000000-0005-0000-0000-0000251C0000}"/>
    <cellStyle name="SAPBEXexcBad8 25 4" xfId="7086" xr:uid="{00000000-0005-0000-0000-0000261C0000}"/>
    <cellStyle name="SAPBEXexcBad8 25 5" xfId="7087" xr:uid="{00000000-0005-0000-0000-0000271C0000}"/>
    <cellStyle name="SAPBEXexcBad8 25 6" xfId="7088" xr:uid="{00000000-0005-0000-0000-0000281C0000}"/>
    <cellStyle name="SAPBEXexcBad8 26" xfId="7089" xr:uid="{00000000-0005-0000-0000-0000291C0000}"/>
    <cellStyle name="SAPBEXexcBad8 26 2" xfId="7090" xr:uid="{00000000-0005-0000-0000-00002A1C0000}"/>
    <cellStyle name="SAPBEXexcBad8 26 3" xfId="7091" xr:uid="{00000000-0005-0000-0000-00002B1C0000}"/>
    <cellStyle name="SAPBEXexcBad8 26 4" xfId="7092" xr:uid="{00000000-0005-0000-0000-00002C1C0000}"/>
    <cellStyle name="SAPBEXexcBad8 26 5" xfId="7093" xr:uid="{00000000-0005-0000-0000-00002D1C0000}"/>
    <cellStyle name="SAPBEXexcBad8 26 6" xfId="7094" xr:uid="{00000000-0005-0000-0000-00002E1C0000}"/>
    <cellStyle name="SAPBEXexcBad8 27" xfId="7095" xr:uid="{00000000-0005-0000-0000-00002F1C0000}"/>
    <cellStyle name="SAPBEXexcBad8 27 2" xfId="7096" xr:uid="{00000000-0005-0000-0000-0000301C0000}"/>
    <cellStyle name="SAPBEXexcBad8 27 3" xfId="7097" xr:uid="{00000000-0005-0000-0000-0000311C0000}"/>
    <cellStyle name="SAPBEXexcBad8 27 4" xfId="7098" xr:uid="{00000000-0005-0000-0000-0000321C0000}"/>
    <cellStyle name="SAPBEXexcBad8 27 5" xfId="7099" xr:uid="{00000000-0005-0000-0000-0000331C0000}"/>
    <cellStyle name="SAPBEXexcBad8 27 6" xfId="7100" xr:uid="{00000000-0005-0000-0000-0000341C0000}"/>
    <cellStyle name="SAPBEXexcBad8 28" xfId="7101" xr:uid="{00000000-0005-0000-0000-0000351C0000}"/>
    <cellStyle name="SAPBEXexcBad8 28 2" xfId="7102" xr:uid="{00000000-0005-0000-0000-0000361C0000}"/>
    <cellStyle name="SAPBEXexcBad8 28 3" xfId="7103" xr:uid="{00000000-0005-0000-0000-0000371C0000}"/>
    <cellStyle name="SAPBEXexcBad8 28 4" xfId="7104" xr:uid="{00000000-0005-0000-0000-0000381C0000}"/>
    <cellStyle name="SAPBEXexcBad8 28 5" xfId="7105" xr:uid="{00000000-0005-0000-0000-0000391C0000}"/>
    <cellStyle name="SAPBEXexcBad8 28 6" xfId="7106" xr:uid="{00000000-0005-0000-0000-00003A1C0000}"/>
    <cellStyle name="SAPBEXexcBad8 29" xfId="7107" xr:uid="{00000000-0005-0000-0000-00003B1C0000}"/>
    <cellStyle name="SAPBEXexcBad8 29 2" xfId="7108" xr:uid="{00000000-0005-0000-0000-00003C1C0000}"/>
    <cellStyle name="SAPBEXexcBad8 29 3" xfId="7109" xr:uid="{00000000-0005-0000-0000-00003D1C0000}"/>
    <cellStyle name="SAPBEXexcBad8 29 4" xfId="7110" xr:uid="{00000000-0005-0000-0000-00003E1C0000}"/>
    <cellStyle name="SAPBEXexcBad8 29 5" xfId="7111" xr:uid="{00000000-0005-0000-0000-00003F1C0000}"/>
    <cellStyle name="SAPBEXexcBad8 29 6" xfId="7112" xr:uid="{00000000-0005-0000-0000-0000401C0000}"/>
    <cellStyle name="SAPBEXexcBad8 3" xfId="7113" xr:uid="{00000000-0005-0000-0000-0000411C0000}"/>
    <cellStyle name="SAPBEXexcBad8 3 10" xfId="7114" xr:uid="{00000000-0005-0000-0000-0000421C0000}"/>
    <cellStyle name="SAPBEXexcBad8 3 11" xfId="7115" xr:uid="{00000000-0005-0000-0000-0000431C0000}"/>
    <cellStyle name="SAPBEXexcBad8 3 12" xfId="7116" xr:uid="{00000000-0005-0000-0000-0000441C0000}"/>
    <cellStyle name="SAPBEXexcBad8 3 2" xfId="7117" xr:uid="{00000000-0005-0000-0000-0000451C0000}"/>
    <cellStyle name="SAPBEXexcBad8 3 2 2" xfId="7118" xr:uid="{00000000-0005-0000-0000-0000461C0000}"/>
    <cellStyle name="SAPBEXexcBad8 3 2 2 2" xfId="7119" xr:uid="{00000000-0005-0000-0000-0000471C0000}"/>
    <cellStyle name="SAPBEXexcBad8 3 2 2 3" xfId="7120" xr:uid="{00000000-0005-0000-0000-0000481C0000}"/>
    <cellStyle name="SAPBEXexcBad8 3 2 2 4" xfId="7121" xr:uid="{00000000-0005-0000-0000-0000491C0000}"/>
    <cellStyle name="SAPBEXexcBad8 3 2 2 5" xfId="7122" xr:uid="{00000000-0005-0000-0000-00004A1C0000}"/>
    <cellStyle name="SAPBEXexcBad8 3 2 2 6" xfId="7123" xr:uid="{00000000-0005-0000-0000-00004B1C0000}"/>
    <cellStyle name="SAPBEXexcBad8 3 2 3" xfId="7124" xr:uid="{00000000-0005-0000-0000-00004C1C0000}"/>
    <cellStyle name="SAPBEXexcBad8 3 2 3 2" xfId="7125" xr:uid="{00000000-0005-0000-0000-00004D1C0000}"/>
    <cellStyle name="SAPBEXexcBad8 3 2 3 3" xfId="7126" xr:uid="{00000000-0005-0000-0000-00004E1C0000}"/>
    <cellStyle name="SAPBEXexcBad8 3 2 3 4" xfId="7127" xr:uid="{00000000-0005-0000-0000-00004F1C0000}"/>
    <cellStyle name="SAPBEXexcBad8 3 2 3 5" xfId="7128" xr:uid="{00000000-0005-0000-0000-0000501C0000}"/>
    <cellStyle name="SAPBEXexcBad8 3 2 3 6" xfId="7129" xr:uid="{00000000-0005-0000-0000-0000511C0000}"/>
    <cellStyle name="SAPBEXexcBad8 3 2 4" xfId="7130" xr:uid="{00000000-0005-0000-0000-0000521C0000}"/>
    <cellStyle name="SAPBEXexcBad8 3 2 4 2" xfId="7131" xr:uid="{00000000-0005-0000-0000-0000531C0000}"/>
    <cellStyle name="SAPBEXexcBad8 3 2 4 3" xfId="7132" xr:uid="{00000000-0005-0000-0000-0000541C0000}"/>
    <cellStyle name="SAPBEXexcBad8 3 2 4 4" xfId="7133" xr:uid="{00000000-0005-0000-0000-0000551C0000}"/>
    <cellStyle name="SAPBEXexcBad8 3 2 4 5" xfId="7134" xr:uid="{00000000-0005-0000-0000-0000561C0000}"/>
    <cellStyle name="SAPBEXexcBad8 3 2 4 6" xfId="7135" xr:uid="{00000000-0005-0000-0000-0000571C0000}"/>
    <cellStyle name="SAPBEXexcBad8 3 2 5" xfId="7136" xr:uid="{00000000-0005-0000-0000-0000581C0000}"/>
    <cellStyle name="SAPBEXexcBad8 3 2 5 2" xfId="7137" xr:uid="{00000000-0005-0000-0000-0000591C0000}"/>
    <cellStyle name="SAPBEXexcBad8 3 2 5 3" xfId="7138" xr:uid="{00000000-0005-0000-0000-00005A1C0000}"/>
    <cellStyle name="SAPBEXexcBad8 3 2 5 4" xfId="7139" xr:uid="{00000000-0005-0000-0000-00005B1C0000}"/>
    <cellStyle name="SAPBEXexcBad8 3 2 5 5" xfId="7140" xr:uid="{00000000-0005-0000-0000-00005C1C0000}"/>
    <cellStyle name="SAPBEXexcBad8 3 2 5 6" xfId="7141" xr:uid="{00000000-0005-0000-0000-00005D1C0000}"/>
    <cellStyle name="SAPBEXexcBad8 3 2 6" xfId="7142" xr:uid="{00000000-0005-0000-0000-00005E1C0000}"/>
    <cellStyle name="SAPBEXexcBad8 3 2 7" xfId="7143" xr:uid="{00000000-0005-0000-0000-00005F1C0000}"/>
    <cellStyle name="SAPBEXexcBad8 3 2 8" xfId="7144" xr:uid="{00000000-0005-0000-0000-0000601C0000}"/>
    <cellStyle name="SAPBEXexcBad8 3 3" xfId="7145" xr:uid="{00000000-0005-0000-0000-0000611C0000}"/>
    <cellStyle name="SAPBEXexcBad8 3 3 2" xfId="7146" xr:uid="{00000000-0005-0000-0000-0000621C0000}"/>
    <cellStyle name="SAPBEXexcBad8 3 3 3" xfId="7147" xr:uid="{00000000-0005-0000-0000-0000631C0000}"/>
    <cellStyle name="SAPBEXexcBad8 3 3 4" xfId="7148" xr:uid="{00000000-0005-0000-0000-0000641C0000}"/>
    <cellStyle name="SAPBEXexcBad8 3 3 5" xfId="7149" xr:uid="{00000000-0005-0000-0000-0000651C0000}"/>
    <cellStyle name="SAPBEXexcBad8 3 3 6" xfId="7150" xr:uid="{00000000-0005-0000-0000-0000661C0000}"/>
    <cellStyle name="SAPBEXexcBad8 3 4" xfId="7151" xr:uid="{00000000-0005-0000-0000-0000671C0000}"/>
    <cellStyle name="SAPBEXexcBad8 3 4 2" xfId="7152" xr:uid="{00000000-0005-0000-0000-0000681C0000}"/>
    <cellStyle name="SAPBEXexcBad8 3 4 3" xfId="7153" xr:uid="{00000000-0005-0000-0000-0000691C0000}"/>
    <cellStyle name="SAPBEXexcBad8 3 4 4" xfId="7154" xr:uid="{00000000-0005-0000-0000-00006A1C0000}"/>
    <cellStyle name="SAPBEXexcBad8 3 4 5" xfId="7155" xr:uid="{00000000-0005-0000-0000-00006B1C0000}"/>
    <cellStyle name="SAPBEXexcBad8 3 4 6" xfId="7156" xr:uid="{00000000-0005-0000-0000-00006C1C0000}"/>
    <cellStyle name="SAPBEXexcBad8 3 5" xfId="7157" xr:uid="{00000000-0005-0000-0000-00006D1C0000}"/>
    <cellStyle name="SAPBEXexcBad8 3 5 2" xfId="7158" xr:uid="{00000000-0005-0000-0000-00006E1C0000}"/>
    <cellStyle name="SAPBEXexcBad8 3 5 3" xfId="7159" xr:uid="{00000000-0005-0000-0000-00006F1C0000}"/>
    <cellStyle name="SAPBEXexcBad8 3 5 4" xfId="7160" xr:uid="{00000000-0005-0000-0000-0000701C0000}"/>
    <cellStyle name="SAPBEXexcBad8 3 6" xfId="7161" xr:uid="{00000000-0005-0000-0000-0000711C0000}"/>
    <cellStyle name="SAPBEXexcBad8 3 6 2" xfId="7162" xr:uid="{00000000-0005-0000-0000-0000721C0000}"/>
    <cellStyle name="SAPBEXexcBad8 3 6 3" xfId="7163" xr:uid="{00000000-0005-0000-0000-0000731C0000}"/>
    <cellStyle name="SAPBEXexcBad8 3 6 4" xfId="7164" xr:uid="{00000000-0005-0000-0000-0000741C0000}"/>
    <cellStyle name="SAPBEXexcBad8 3 7" xfId="7165" xr:uid="{00000000-0005-0000-0000-0000751C0000}"/>
    <cellStyle name="SAPBEXexcBad8 3 7 2" xfId="7166" xr:uid="{00000000-0005-0000-0000-0000761C0000}"/>
    <cellStyle name="SAPBEXexcBad8 3 7 3" xfId="7167" xr:uid="{00000000-0005-0000-0000-0000771C0000}"/>
    <cellStyle name="SAPBEXexcBad8 3 7 4" xfId="7168" xr:uid="{00000000-0005-0000-0000-0000781C0000}"/>
    <cellStyle name="SAPBEXexcBad8 3 8" xfId="7169" xr:uid="{00000000-0005-0000-0000-0000791C0000}"/>
    <cellStyle name="SAPBEXexcBad8 3 9" xfId="7170" xr:uid="{00000000-0005-0000-0000-00007A1C0000}"/>
    <cellStyle name="SAPBEXexcBad8 30" xfId="7171" xr:uid="{00000000-0005-0000-0000-00007B1C0000}"/>
    <cellStyle name="SAPBEXexcBad8 30 2" xfId="7172" xr:uid="{00000000-0005-0000-0000-00007C1C0000}"/>
    <cellStyle name="SAPBEXexcBad8 30 3" xfId="7173" xr:uid="{00000000-0005-0000-0000-00007D1C0000}"/>
    <cellStyle name="SAPBEXexcBad8 30 4" xfId="7174" xr:uid="{00000000-0005-0000-0000-00007E1C0000}"/>
    <cellStyle name="SAPBEXexcBad8 30 5" xfId="7175" xr:uid="{00000000-0005-0000-0000-00007F1C0000}"/>
    <cellStyle name="SAPBEXexcBad8 30 6" xfId="7176" xr:uid="{00000000-0005-0000-0000-0000801C0000}"/>
    <cellStyle name="SAPBEXexcBad8 31" xfId="7177" xr:uid="{00000000-0005-0000-0000-0000811C0000}"/>
    <cellStyle name="SAPBEXexcBad8 31 2" xfId="7178" xr:uid="{00000000-0005-0000-0000-0000821C0000}"/>
    <cellStyle name="SAPBEXexcBad8 31 3" xfId="7179" xr:uid="{00000000-0005-0000-0000-0000831C0000}"/>
    <cellStyle name="SAPBEXexcBad8 31 4" xfId="7180" xr:uid="{00000000-0005-0000-0000-0000841C0000}"/>
    <cellStyle name="SAPBEXexcBad8 31 5" xfId="7181" xr:uid="{00000000-0005-0000-0000-0000851C0000}"/>
    <cellStyle name="SAPBEXexcBad8 31 6" xfId="7182" xr:uid="{00000000-0005-0000-0000-0000861C0000}"/>
    <cellStyle name="SAPBEXexcBad8 32" xfId="7183" xr:uid="{00000000-0005-0000-0000-0000871C0000}"/>
    <cellStyle name="SAPBEXexcBad8 32 2" xfId="7184" xr:uid="{00000000-0005-0000-0000-0000881C0000}"/>
    <cellStyle name="SAPBEXexcBad8 32 3" xfId="7185" xr:uid="{00000000-0005-0000-0000-0000891C0000}"/>
    <cellStyle name="SAPBEXexcBad8 32 4" xfId="7186" xr:uid="{00000000-0005-0000-0000-00008A1C0000}"/>
    <cellStyle name="SAPBEXexcBad8 32 5" xfId="7187" xr:uid="{00000000-0005-0000-0000-00008B1C0000}"/>
    <cellStyle name="SAPBEXexcBad8 32 6" xfId="7188" xr:uid="{00000000-0005-0000-0000-00008C1C0000}"/>
    <cellStyle name="SAPBEXexcBad8 33" xfId="7189" xr:uid="{00000000-0005-0000-0000-00008D1C0000}"/>
    <cellStyle name="SAPBEXexcBad8 34" xfId="7190" xr:uid="{00000000-0005-0000-0000-00008E1C0000}"/>
    <cellStyle name="SAPBEXexcBad8 35" xfId="7191" xr:uid="{00000000-0005-0000-0000-00008F1C0000}"/>
    <cellStyle name="SAPBEXexcBad8 36" xfId="27829" xr:uid="{00000000-0005-0000-0000-0000901C0000}"/>
    <cellStyle name="SAPBEXexcBad8 37" xfId="27908" xr:uid="{00000000-0005-0000-0000-0000911C0000}"/>
    <cellStyle name="SAPBEXexcBad8 38" xfId="27974" xr:uid="{00000000-0005-0000-0000-0000921C0000}"/>
    <cellStyle name="SAPBEXexcBad8 39" xfId="28008" xr:uid="{00000000-0005-0000-0000-0000931C0000}"/>
    <cellStyle name="SAPBEXexcBad8 4" xfId="7192" xr:uid="{00000000-0005-0000-0000-0000941C0000}"/>
    <cellStyle name="SAPBEXexcBad8 4 2" xfId="7193" xr:uid="{00000000-0005-0000-0000-0000951C0000}"/>
    <cellStyle name="SAPBEXexcBad8 4 3" xfId="7194" xr:uid="{00000000-0005-0000-0000-0000961C0000}"/>
    <cellStyle name="SAPBEXexcBad8 4 4" xfId="7195" xr:uid="{00000000-0005-0000-0000-0000971C0000}"/>
    <cellStyle name="SAPBEXexcBad8 4 5" xfId="7196" xr:uid="{00000000-0005-0000-0000-0000981C0000}"/>
    <cellStyle name="SAPBEXexcBad8 4 6" xfId="7197" xr:uid="{00000000-0005-0000-0000-0000991C0000}"/>
    <cellStyle name="SAPBEXexcBad8 40" xfId="28146" xr:uid="{00000000-0005-0000-0000-00009A1C0000}"/>
    <cellStyle name="SAPBEXexcBad8 5" xfId="7198" xr:uid="{00000000-0005-0000-0000-00009B1C0000}"/>
    <cellStyle name="SAPBEXexcBad8 5 2" xfId="7199" xr:uid="{00000000-0005-0000-0000-00009C1C0000}"/>
    <cellStyle name="SAPBEXexcBad8 5 3" xfId="7200" xr:uid="{00000000-0005-0000-0000-00009D1C0000}"/>
    <cellStyle name="SAPBEXexcBad8 5 4" xfId="7201" xr:uid="{00000000-0005-0000-0000-00009E1C0000}"/>
    <cellStyle name="SAPBEXexcBad8 5 5" xfId="7202" xr:uid="{00000000-0005-0000-0000-00009F1C0000}"/>
    <cellStyle name="SAPBEXexcBad8 5 6" xfId="7203" xr:uid="{00000000-0005-0000-0000-0000A01C0000}"/>
    <cellStyle name="SAPBEXexcBad8 6" xfId="7204" xr:uid="{00000000-0005-0000-0000-0000A11C0000}"/>
    <cellStyle name="SAPBEXexcBad8 6 10" xfId="7205" xr:uid="{00000000-0005-0000-0000-0000A21C0000}"/>
    <cellStyle name="SAPBEXexcBad8 6 2" xfId="7206" xr:uid="{00000000-0005-0000-0000-0000A31C0000}"/>
    <cellStyle name="SAPBEXexcBad8 6 2 2" xfId="7207" xr:uid="{00000000-0005-0000-0000-0000A41C0000}"/>
    <cellStyle name="SAPBEXexcBad8 6 2 3" xfId="7208" xr:uid="{00000000-0005-0000-0000-0000A51C0000}"/>
    <cellStyle name="SAPBEXexcBad8 6 2 4" xfId="7209" xr:uid="{00000000-0005-0000-0000-0000A61C0000}"/>
    <cellStyle name="SAPBEXexcBad8 6 3" xfId="7210" xr:uid="{00000000-0005-0000-0000-0000A71C0000}"/>
    <cellStyle name="SAPBEXexcBad8 6 3 2" xfId="7211" xr:uid="{00000000-0005-0000-0000-0000A81C0000}"/>
    <cellStyle name="SAPBEXexcBad8 6 3 3" xfId="7212" xr:uid="{00000000-0005-0000-0000-0000A91C0000}"/>
    <cellStyle name="SAPBEXexcBad8 6 3 4" xfId="7213" xr:uid="{00000000-0005-0000-0000-0000AA1C0000}"/>
    <cellStyle name="SAPBEXexcBad8 6 4" xfId="7214" xr:uid="{00000000-0005-0000-0000-0000AB1C0000}"/>
    <cellStyle name="SAPBEXexcBad8 6 4 2" xfId="7215" xr:uid="{00000000-0005-0000-0000-0000AC1C0000}"/>
    <cellStyle name="SAPBEXexcBad8 6 4 3" xfId="7216" xr:uid="{00000000-0005-0000-0000-0000AD1C0000}"/>
    <cellStyle name="SAPBEXexcBad8 6 4 4" xfId="7217" xr:uid="{00000000-0005-0000-0000-0000AE1C0000}"/>
    <cellStyle name="SAPBEXexcBad8 6 5" xfId="7218" xr:uid="{00000000-0005-0000-0000-0000AF1C0000}"/>
    <cellStyle name="SAPBEXexcBad8 6 5 2" xfId="7219" xr:uid="{00000000-0005-0000-0000-0000B01C0000}"/>
    <cellStyle name="SAPBEXexcBad8 6 5 3" xfId="7220" xr:uid="{00000000-0005-0000-0000-0000B11C0000}"/>
    <cellStyle name="SAPBEXexcBad8 6 5 4" xfId="7221" xr:uid="{00000000-0005-0000-0000-0000B21C0000}"/>
    <cellStyle name="SAPBEXexcBad8 6 6" xfId="7222" xr:uid="{00000000-0005-0000-0000-0000B31C0000}"/>
    <cellStyle name="SAPBEXexcBad8 6 7" xfId="7223" xr:uid="{00000000-0005-0000-0000-0000B41C0000}"/>
    <cellStyle name="SAPBEXexcBad8 6 8" xfId="7224" xr:uid="{00000000-0005-0000-0000-0000B51C0000}"/>
    <cellStyle name="SAPBEXexcBad8 6 9" xfId="7225" xr:uid="{00000000-0005-0000-0000-0000B61C0000}"/>
    <cellStyle name="SAPBEXexcBad8 7" xfId="7226" xr:uid="{00000000-0005-0000-0000-0000B71C0000}"/>
    <cellStyle name="SAPBEXexcBad8 7 10" xfId="7227" xr:uid="{00000000-0005-0000-0000-0000B81C0000}"/>
    <cellStyle name="SAPBEXexcBad8 7 2" xfId="7228" xr:uid="{00000000-0005-0000-0000-0000B91C0000}"/>
    <cellStyle name="SAPBEXexcBad8 7 2 2" xfId="7229" xr:uid="{00000000-0005-0000-0000-0000BA1C0000}"/>
    <cellStyle name="SAPBEXexcBad8 7 2 3" xfId="7230" xr:uid="{00000000-0005-0000-0000-0000BB1C0000}"/>
    <cellStyle name="SAPBEXexcBad8 7 2 4" xfId="7231" xr:uid="{00000000-0005-0000-0000-0000BC1C0000}"/>
    <cellStyle name="SAPBEXexcBad8 7 3" xfId="7232" xr:uid="{00000000-0005-0000-0000-0000BD1C0000}"/>
    <cellStyle name="SAPBEXexcBad8 7 3 2" xfId="7233" xr:uid="{00000000-0005-0000-0000-0000BE1C0000}"/>
    <cellStyle name="SAPBEXexcBad8 7 3 3" xfId="7234" xr:uid="{00000000-0005-0000-0000-0000BF1C0000}"/>
    <cellStyle name="SAPBEXexcBad8 7 3 4" xfId="7235" xr:uid="{00000000-0005-0000-0000-0000C01C0000}"/>
    <cellStyle name="SAPBEXexcBad8 7 4" xfId="7236" xr:uid="{00000000-0005-0000-0000-0000C11C0000}"/>
    <cellStyle name="SAPBEXexcBad8 7 4 2" xfId="7237" xr:uid="{00000000-0005-0000-0000-0000C21C0000}"/>
    <cellStyle name="SAPBEXexcBad8 7 4 3" xfId="7238" xr:uid="{00000000-0005-0000-0000-0000C31C0000}"/>
    <cellStyle name="SAPBEXexcBad8 7 4 4" xfId="7239" xr:uid="{00000000-0005-0000-0000-0000C41C0000}"/>
    <cellStyle name="SAPBEXexcBad8 7 5" xfId="7240" xr:uid="{00000000-0005-0000-0000-0000C51C0000}"/>
    <cellStyle name="SAPBEXexcBad8 7 5 2" xfId="7241" xr:uid="{00000000-0005-0000-0000-0000C61C0000}"/>
    <cellStyle name="SAPBEXexcBad8 7 5 3" xfId="7242" xr:uid="{00000000-0005-0000-0000-0000C71C0000}"/>
    <cellStyle name="SAPBEXexcBad8 7 5 4" xfId="7243" xr:uid="{00000000-0005-0000-0000-0000C81C0000}"/>
    <cellStyle name="SAPBEXexcBad8 7 6" xfId="7244" xr:uid="{00000000-0005-0000-0000-0000C91C0000}"/>
    <cellStyle name="SAPBEXexcBad8 7 7" xfId="7245" xr:uid="{00000000-0005-0000-0000-0000CA1C0000}"/>
    <cellStyle name="SAPBEXexcBad8 7 8" xfId="7246" xr:uid="{00000000-0005-0000-0000-0000CB1C0000}"/>
    <cellStyle name="SAPBEXexcBad8 7 9" xfId="7247" xr:uid="{00000000-0005-0000-0000-0000CC1C0000}"/>
    <cellStyle name="SAPBEXexcBad8 8" xfId="7248" xr:uid="{00000000-0005-0000-0000-0000CD1C0000}"/>
    <cellStyle name="SAPBEXexcBad8 8 2" xfId="7249" xr:uid="{00000000-0005-0000-0000-0000CE1C0000}"/>
    <cellStyle name="SAPBEXexcBad8 8 3" xfId="7250" xr:uid="{00000000-0005-0000-0000-0000CF1C0000}"/>
    <cellStyle name="SAPBEXexcBad8 8 4" xfId="7251" xr:uid="{00000000-0005-0000-0000-0000D01C0000}"/>
    <cellStyle name="SAPBEXexcBad8 8 5" xfId="7252" xr:uid="{00000000-0005-0000-0000-0000D11C0000}"/>
    <cellStyle name="SAPBEXexcBad8 8 6" xfId="7253" xr:uid="{00000000-0005-0000-0000-0000D21C0000}"/>
    <cellStyle name="SAPBEXexcBad8 9" xfId="7254" xr:uid="{00000000-0005-0000-0000-0000D31C0000}"/>
    <cellStyle name="SAPBEXexcBad8 9 2" xfId="7255" xr:uid="{00000000-0005-0000-0000-0000D41C0000}"/>
    <cellStyle name="SAPBEXexcBad8 9 3" xfId="7256" xr:uid="{00000000-0005-0000-0000-0000D51C0000}"/>
    <cellStyle name="SAPBEXexcBad8 9 4" xfId="7257" xr:uid="{00000000-0005-0000-0000-0000D61C0000}"/>
    <cellStyle name="SAPBEXexcBad8 9 5" xfId="7258" xr:uid="{00000000-0005-0000-0000-0000D71C0000}"/>
    <cellStyle name="SAPBEXexcBad8 9 6" xfId="7259" xr:uid="{00000000-0005-0000-0000-0000D81C0000}"/>
    <cellStyle name="SAPBEXexcBad8_Receipts" xfId="7260" xr:uid="{00000000-0005-0000-0000-0000D91C0000}"/>
    <cellStyle name="SAPBEXexcBad9" xfId="7261" xr:uid="{00000000-0005-0000-0000-0000DA1C0000}"/>
    <cellStyle name="SAPBEXexcBad9 10" xfId="7262" xr:uid="{00000000-0005-0000-0000-0000DB1C0000}"/>
    <cellStyle name="SAPBEXexcBad9 10 2" xfId="7263" xr:uid="{00000000-0005-0000-0000-0000DC1C0000}"/>
    <cellStyle name="SAPBEXexcBad9 10 3" xfId="7264" xr:uid="{00000000-0005-0000-0000-0000DD1C0000}"/>
    <cellStyle name="SAPBEXexcBad9 10 4" xfId="7265" xr:uid="{00000000-0005-0000-0000-0000DE1C0000}"/>
    <cellStyle name="SAPBEXexcBad9 10 5" xfId="7266" xr:uid="{00000000-0005-0000-0000-0000DF1C0000}"/>
    <cellStyle name="SAPBEXexcBad9 10 6" xfId="7267" xr:uid="{00000000-0005-0000-0000-0000E01C0000}"/>
    <cellStyle name="SAPBEXexcBad9 11" xfId="7268" xr:uid="{00000000-0005-0000-0000-0000E11C0000}"/>
    <cellStyle name="SAPBEXexcBad9 11 2" xfId="7269" xr:uid="{00000000-0005-0000-0000-0000E21C0000}"/>
    <cellStyle name="SAPBEXexcBad9 11 3" xfId="7270" xr:uid="{00000000-0005-0000-0000-0000E31C0000}"/>
    <cellStyle name="SAPBEXexcBad9 11 4" xfId="7271" xr:uid="{00000000-0005-0000-0000-0000E41C0000}"/>
    <cellStyle name="SAPBEXexcBad9 11 5" xfId="7272" xr:uid="{00000000-0005-0000-0000-0000E51C0000}"/>
    <cellStyle name="SAPBEXexcBad9 11 6" xfId="7273" xr:uid="{00000000-0005-0000-0000-0000E61C0000}"/>
    <cellStyle name="SAPBEXexcBad9 12" xfId="7274" xr:uid="{00000000-0005-0000-0000-0000E71C0000}"/>
    <cellStyle name="SAPBEXexcBad9 12 2" xfId="7275" xr:uid="{00000000-0005-0000-0000-0000E81C0000}"/>
    <cellStyle name="SAPBEXexcBad9 12 3" xfId="7276" xr:uid="{00000000-0005-0000-0000-0000E91C0000}"/>
    <cellStyle name="SAPBEXexcBad9 12 4" xfId="7277" xr:uid="{00000000-0005-0000-0000-0000EA1C0000}"/>
    <cellStyle name="SAPBEXexcBad9 12 5" xfId="7278" xr:uid="{00000000-0005-0000-0000-0000EB1C0000}"/>
    <cellStyle name="SAPBEXexcBad9 12 6" xfId="7279" xr:uid="{00000000-0005-0000-0000-0000EC1C0000}"/>
    <cellStyle name="SAPBEXexcBad9 13" xfId="7280" xr:uid="{00000000-0005-0000-0000-0000ED1C0000}"/>
    <cellStyle name="SAPBEXexcBad9 13 2" xfId="7281" xr:uid="{00000000-0005-0000-0000-0000EE1C0000}"/>
    <cellStyle name="SAPBEXexcBad9 13 3" xfId="7282" xr:uid="{00000000-0005-0000-0000-0000EF1C0000}"/>
    <cellStyle name="SAPBEXexcBad9 13 4" xfId="7283" xr:uid="{00000000-0005-0000-0000-0000F01C0000}"/>
    <cellStyle name="SAPBEXexcBad9 13 5" xfId="7284" xr:uid="{00000000-0005-0000-0000-0000F11C0000}"/>
    <cellStyle name="SAPBEXexcBad9 13 6" xfId="7285" xr:uid="{00000000-0005-0000-0000-0000F21C0000}"/>
    <cellStyle name="SAPBEXexcBad9 14" xfId="7286" xr:uid="{00000000-0005-0000-0000-0000F31C0000}"/>
    <cellStyle name="SAPBEXexcBad9 14 2" xfId="7287" xr:uid="{00000000-0005-0000-0000-0000F41C0000}"/>
    <cellStyle name="SAPBEXexcBad9 14 3" xfId="7288" xr:uid="{00000000-0005-0000-0000-0000F51C0000}"/>
    <cellStyle name="SAPBEXexcBad9 14 4" xfId="7289" xr:uid="{00000000-0005-0000-0000-0000F61C0000}"/>
    <cellStyle name="SAPBEXexcBad9 14 5" xfId="7290" xr:uid="{00000000-0005-0000-0000-0000F71C0000}"/>
    <cellStyle name="SAPBEXexcBad9 14 6" xfId="7291" xr:uid="{00000000-0005-0000-0000-0000F81C0000}"/>
    <cellStyle name="SAPBEXexcBad9 15" xfId="7292" xr:uid="{00000000-0005-0000-0000-0000F91C0000}"/>
    <cellStyle name="SAPBEXexcBad9 15 2" xfId="7293" xr:uid="{00000000-0005-0000-0000-0000FA1C0000}"/>
    <cellStyle name="SAPBEXexcBad9 15 3" xfId="7294" xr:uid="{00000000-0005-0000-0000-0000FB1C0000}"/>
    <cellStyle name="SAPBEXexcBad9 15 4" xfId="7295" xr:uid="{00000000-0005-0000-0000-0000FC1C0000}"/>
    <cellStyle name="SAPBEXexcBad9 15 5" xfId="7296" xr:uid="{00000000-0005-0000-0000-0000FD1C0000}"/>
    <cellStyle name="SAPBEXexcBad9 15 6" xfId="7297" xr:uid="{00000000-0005-0000-0000-0000FE1C0000}"/>
    <cellStyle name="SAPBEXexcBad9 16" xfId="7298" xr:uid="{00000000-0005-0000-0000-0000FF1C0000}"/>
    <cellStyle name="SAPBEXexcBad9 16 2" xfId="7299" xr:uid="{00000000-0005-0000-0000-0000001D0000}"/>
    <cellStyle name="SAPBEXexcBad9 16 3" xfId="7300" xr:uid="{00000000-0005-0000-0000-0000011D0000}"/>
    <cellStyle name="SAPBEXexcBad9 16 4" xfId="7301" xr:uid="{00000000-0005-0000-0000-0000021D0000}"/>
    <cellStyle name="SAPBEXexcBad9 16 5" xfId="7302" xr:uid="{00000000-0005-0000-0000-0000031D0000}"/>
    <cellStyle name="SAPBEXexcBad9 16 6" xfId="7303" xr:uid="{00000000-0005-0000-0000-0000041D0000}"/>
    <cellStyle name="SAPBEXexcBad9 17" xfId="7304" xr:uid="{00000000-0005-0000-0000-0000051D0000}"/>
    <cellStyle name="SAPBEXexcBad9 17 2" xfId="7305" xr:uid="{00000000-0005-0000-0000-0000061D0000}"/>
    <cellStyle name="SAPBEXexcBad9 17 3" xfId="7306" xr:uid="{00000000-0005-0000-0000-0000071D0000}"/>
    <cellStyle name="SAPBEXexcBad9 17 4" xfId="7307" xr:uid="{00000000-0005-0000-0000-0000081D0000}"/>
    <cellStyle name="SAPBEXexcBad9 17 5" xfId="7308" xr:uid="{00000000-0005-0000-0000-0000091D0000}"/>
    <cellStyle name="SAPBEXexcBad9 17 6" xfId="7309" xr:uid="{00000000-0005-0000-0000-00000A1D0000}"/>
    <cellStyle name="SAPBEXexcBad9 18" xfId="7310" xr:uid="{00000000-0005-0000-0000-00000B1D0000}"/>
    <cellStyle name="SAPBEXexcBad9 18 2" xfId="7311" xr:uid="{00000000-0005-0000-0000-00000C1D0000}"/>
    <cellStyle name="SAPBEXexcBad9 18 3" xfId="7312" xr:uid="{00000000-0005-0000-0000-00000D1D0000}"/>
    <cellStyle name="SAPBEXexcBad9 18 4" xfId="7313" xr:uid="{00000000-0005-0000-0000-00000E1D0000}"/>
    <cellStyle name="SAPBEXexcBad9 18 5" xfId="7314" xr:uid="{00000000-0005-0000-0000-00000F1D0000}"/>
    <cellStyle name="SAPBEXexcBad9 18 6" xfId="7315" xr:uid="{00000000-0005-0000-0000-0000101D0000}"/>
    <cellStyle name="SAPBEXexcBad9 19" xfId="7316" xr:uid="{00000000-0005-0000-0000-0000111D0000}"/>
    <cellStyle name="SAPBEXexcBad9 19 2" xfId="7317" xr:uid="{00000000-0005-0000-0000-0000121D0000}"/>
    <cellStyle name="SAPBEXexcBad9 19 3" xfId="7318" xr:uid="{00000000-0005-0000-0000-0000131D0000}"/>
    <cellStyle name="SAPBEXexcBad9 19 4" xfId="7319" xr:uid="{00000000-0005-0000-0000-0000141D0000}"/>
    <cellStyle name="SAPBEXexcBad9 19 5" xfId="7320" xr:uid="{00000000-0005-0000-0000-0000151D0000}"/>
    <cellStyle name="SAPBEXexcBad9 19 6" xfId="7321" xr:uid="{00000000-0005-0000-0000-0000161D0000}"/>
    <cellStyle name="SAPBEXexcBad9 2" xfId="7322" xr:uid="{00000000-0005-0000-0000-0000171D0000}"/>
    <cellStyle name="SAPBEXexcBad9 2 10" xfId="7323" xr:uid="{00000000-0005-0000-0000-0000181D0000}"/>
    <cellStyle name="SAPBEXexcBad9 2 10 2" xfId="7324" xr:uid="{00000000-0005-0000-0000-0000191D0000}"/>
    <cellStyle name="SAPBEXexcBad9 2 10 3" xfId="7325" xr:uid="{00000000-0005-0000-0000-00001A1D0000}"/>
    <cellStyle name="SAPBEXexcBad9 2 10 4" xfId="7326" xr:uid="{00000000-0005-0000-0000-00001B1D0000}"/>
    <cellStyle name="SAPBEXexcBad9 2 11" xfId="7327" xr:uid="{00000000-0005-0000-0000-00001C1D0000}"/>
    <cellStyle name="SAPBEXexcBad9 2 11 2" xfId="7328" xr:uid="{00000000-0005-0000-0000-00001D1D0000}"/>
    <cellStyle name="SAPBEXexcBad9 2 11 3" xfId="7329" xr:uid="{00000000-0005-0000-0000-00001E1D0000}"/>
    <cellStyle name="SAPBEXexcBad9 2 11 4" xfId="7330" xr:uid="{00000000-0005-0000-0000-00001F1D0000}"/>
    <cellStyle name="SAPBEXexcBad9 2 12" xfId="7331" xr:uid="{00000000-0005-0000-0000-0000201D0000}"/>
    <cellStyle name="SAPBEXexcBad9 2 12 2" xfId="7332" xr:uid="{00000000-0005-0000-0000-0000211D0000}"/>
    <cellStyle name="SAPBEXexcBad9 2 12 3" xfId="7333" xr:uid="{00000000-0005-0000-0000-0000221D0000}"/>
    <cellStyle name="SAPBEXexcBad9 2 12 4" xfId="7334" xr:uid="{00000000-0005-0000-0000-0000231D0000}"/>
    <cellStyle name="SAPBEXexcBad9 2 13" xfId="7335" xr:uid="{00000000-0005-0000-0000-0000241D0000}"/>
    <cellStyle name="SAPBEXexcBad9 2 13 2" xfId="7336" xr:uid="{00000000-0005-0000-0000-0000251D0000}"/>
    <cellStyle name="SAPBEXexcBad9 2 13 3" xfId="7337" xr:uid="{00000000-0005-0000-0000-0000261D0000}"/>
    <cellStyle name="SAPBEXexcBad9 2 13 4" xfId="7338" xr:uid="{00000000-0005-0000-0000-0000271D0000}"/>
    <cellStyle name="SAPBEXexcBad9 2 14" xfId="7339" xr:uid="{00000000-0005-0000-0000-0000281D0000}"/>
    <cellStyle name="SAPBEXexcBad9 2 15" xfId="7340" xr:uid="{00000000-0005-0000-0000-0000291D0000}"/>
    <cellStyle name="SAPBEXexcBad9 2 16" xfId="7341" xr:uid="{00000000-0005-0000-0000-00002A1D0000}"/>
    <cellStyle name="SAPBEXexcBad9 2 17" xfId="7342" xr:uid="{00000000-0005-0000-0000-00002B1D0000}"/>
    <cellStyle name="SAPBEXexcBad9 2 18" xfId="7343" xr:uid="{00000000-0005-0000-0000-00002C1D0000}"/>
    <cellStyle name="SAPBEXexcBad9 2 2" xfId="7344" xr:uid="{00000000-0005-0000-0000-00002D1D0000}"/>
    <cellStyle name="SAPBEXexcBad9 2 2 2" xfId="7345" xr:uid="{00000000-0005-0000-0000-00002E1D0000}"/>
    <cellStyle name="SAPBEXexcBad9 2 2 2 2" xfId="7346" xr:uid="{00000000-0005-0000-0000-00002F1D0000}"/>
    <cellStyle name="SAPBEXexcBad9 2 2 2 3" xfId="7347" xr:uid="{00000000-0005-0000-0000-0000301D0000}"/>
    <cellStyle name="SAPBEXexcBad9 2 2 2 4" xfId="7348" xr:uid="{00000000-0005-0000-0000-0000311D0000}"/>
    <cellStyle name="SAPBEXexcBad9 2 2 2 5" xfId="7349" xr:uid="{00000000-0005-0000-0000-0000321D0000}"/>
    <cellStyle name="SAPBEXexcBad9 2 2 2 6" xfId="7350" xr:uid="{00000000-0005-0000-0000-0000331D0000}"/>
    <cellStyle name="SAPBEXexcBad9 2 2 3" xfId="7351" xr:uid="{00000000-0005-0000-0000-0000341D0000}"/>
    <cellStyle name="SAPBEXexcBad9 2 2 3 2" xfId="7352" xr:uid="{00000000-0005-0000-0000-0000351D0000}"/>
    <cellStyle name="SAPBEXexcBad9 2 2 3 3" xfId="7353" xr:uid="{00000000-0005-0000-0000-0000361D0000}"/>
    <cellStyle name="SAPBEXexcBad9 2 2 3 4" xfId="7354" xr:uid="{00000000-0005-0000-0000-0000371D0000}"/>
    <cellStyle name="SAPBEXexcBad9 2 2 3 5" xfId="7355" xr:uid="{00000000-0005-0000-0000-0000381D0000}"/>
    <cellStyle name="SAPBEXexcBad9 2 2 3 6" xfId="7356" xr:uid="{00000000-0005-0000-0000-0000391D0000}"/>
    <cellStyle name="SAPBEXexcBad9 2 2 4" xfId="7357" xr:uid="{00000000-0005-0000-0000-00003A1D0000}"/>
    <cellStyle name="SAPBEXexcBad9 2 2 4 2" xfId="7358" xr:uid="{00000000-0005-0000-0000-00003B1D0000}"/>
    <cellStyle name="SAPBEXexcBad9 2 2 4 3" xfId="7359" xr:uid="{00000000-0005-0000-0000-00003C1D0000}"/>
    <cellStyle name="SAPBEXexcBad9 2 2 4 4" xfId="7360" xr:uid="{00000000-0005-0000-0000-00003D1D0000}"/>
    <cellStyle name="SAPBEXexcBad9 2 2 4 5" xfId="7361" xr:uid="{00000000-0005-0000-0000-00003E1D0000}"/>
    <cellStyle name="SAPBEXexcBad9 2 2 4 6" xfId="7362" xr:uid="{00000000-0005-0000-0000-00003F1D0000}"/>
    <cellStyle name="SAPBEXexcBad9 2 2 5" xfId="7363" xr:uid="{00000000-0005-0000-0000-0000401D0000}"/>
    <cellStyle name="SAPBEXexcBad9 2 2 5 2" xfId="7364" xr:uid="{00000000-0005-0000-0000-0000411D0000}"/>
    <cellStyle name="SAPBEXexcBad9 2 2 5 3" xfId="7365" xr:uid="{00000000-0005-0000-0000-0000421D0000}"/>
    <cellStyle name="SAPBEXexcBad9 2 2 5 4" xfId="7366" xr:uid="{00000000-0005-0000-0000-0000431D0000}"/>
    <cellStyle name="SAPBEXexcBad9 2 2 5 5" xfId="7367" xr:uid="{00000000-0005-0000-0000-0000441D0000}"/>
    <cellStyle name="SAPBEXexcBad9 2 2 5 6" xfId="7368" xr:uid="{00000000-0005-0000-0000-0000451D0000}"/>
    <cellStyle name="SAPBEXexcBad9 2 2 6" xfId="7369" xr:uid="{00000000-0005-0000-0000-0000461D0000}"/>
    <cellStyle name="SAPBEXexcBad9 2 2 7" xfId="7370" xr:uid="{00000000-0005-0000-0000-0000471D0000}"/>
    <cellStyle name="SAPBEXexcBad9 2 2 8" xfId="7371" xr:uid="{00000000-0005-0000-0000-0000481D0000}"/>
    <cellStyle name="SAPBEXexcBad9 2 3" xfId="7372" xr:uid="{00000000-0005-0000-0000-0000491D0000}"/>
    <cellStyle name="SAPBEXexcBad9 2 3 2" xfId="7373" xr:uid="{00000000-0005-0000-0000-00004A1D0000}"/>
    <cellStyle name="SAPBEXexcBad9 2 3 2 2" xfId="7374" xr:uid="{00000000-0005-0000-0000-00004B1D0000}"/>
    <cellStyle name="SAPBEXexcBad9 2 3 2 3" xfId="7375" xr:uid="{00000000-0005-0000-0000-00004C1D0000}"/>
    <cellStyle name="SAPBEXexcBad9 2 3 2 4" xfId="7376" xr:uid="{00000000-0005-0000-0000-00004D1D0000}"/>
    <cellStyle name="SAPBEXexcBad9 2 3 2 5" xfId="7377" xr:uid="{00000000-0005-0000-0000-00004E1D0000}"/>
    <cellStyle name="SAPBEXexcBad9 2 3 2 6" xfId="7378" xr:uid="{00000000-0005-0000-0000-00004F1D0000}"/>
    <cellStyle name="SAPBEXexcBad9 2 3 3" xfId="7379" xr:uid="{00000000-0005-0000-0000-0000501D0000}"/>
    <cellStyle name="SAPBEXexcBad9 2 3 3 2" xfId="7380" xr:uid="{00000000-0005-0000-0000-0000511D0000}"/>
    <cellStyle name="SAPBEXexcBad9 2 3 3 3" xfId="7381" xr:uid="{00000000-0005-0000-0000-0000521D0000}"/>
    <cellStyle name="SAPBEXexcBad9 2 3 3 4" xfId="7382" xr:uid="{00000000-0005-0000-0000-0000531D0000}"/>
    <cellStyle name="SAPBEXexcBad9 2 3 3 5" xfId="7383" xr:uid="{00000000-0005-0000-0000-0000541D0000}"/>
    <cellStyle name="SAPBEXexcBad9 2 3 3 6" xfId="7384" xr:uid="{00000000-0005-0000-0000-0000551D0000}"/>
    <cellStyle name="SAPBEXexcBad9 2 3 4" xfId="7385" xr:uid="{00000000-0005-0000-0000-0000561D0000}"/>
    <cellStyle name="SAPBEXexcBad9 2 3 4 2" xfId="7386" xr:uid="{00000000-0005-0000-0000-0000571D0000}"/>
    <cellStyle name="SAPBEXexcBad9 2 3 4 3" xfId="7387" xr:uid="{00000000-0005-0000-0000-0000581D0000}"/>
    <cellStyle name="SAPBEXexcBad9 2 3 4 4" xfId="7388" xr:uid="{00000000-0005-0000-0000-0000591D0000}"/>
    <cellStyle name="SAPBEXexcBad9 2 3 4 5" xfId="7389" xr:uid="{00000000-0005-0000-0000-00005A1D0000}"/>
    <cellStyle name="SAPBEXexcBad9 2 3 4 6" xfId="7390" xr:uid="{00000000-0005-0000-0000-00005B1D0000}"/>
    <cellStyle name="SAPBEXexcBad9 2 3 5" xfId="7391" xr:uid="{00000000-0005-0000-0000-00005C1D0000}"/>
    <cellStyle name="SAPBEXexcBad9 2 3 5 2" xfId="7392" xr:uid="{00000000-0005-0000-0000-00005D1D0000}"/>
    <cellStyle name="SAPBEXexcBad9 2 3 5 3" xfId="7393" xr:uid="{00000000-0005-0000-0000-00005E1D0000}"/>
    <cellStyle name="SAPBEXexcBad9 2 3 5 4" xfId="7394" xr:uid="{00000000-0005-0000-0000-00005F1D0000}"/>
    <cellStyle name="SAPBEXexcBad9 2 3 5 5" xfId="7395" xr:uid="{00000000-0005-0000-0000-0000601D0000}"/>
    <cellStyle name="SAPBEXexcBad9 2 3 5 6" xfId="7396" xr:uid="{00000000-0005-0000-0000-0000611D0000}"/>
    <cellStyle name="SAPBEXexcBad9 2 3 6" xfId="7397" xr:uid="{00000000-0005-0000-0000-0000621D0000}"/>
    <cellStyle name="SAPBEXexcBad9 2 3 7" xfId="7398" xr:uid="{00000000-0005-0000-0000-0000631D0000}"/>
    <cellStyle name="SAPBEXexcBad9 2 3 8" xfId="7399" xr:uid="{00000000-0005-0000-0000-0000641D0000}"/>
    <cellStyle name="SAPBEXexcBad9 2 4" xfId="7400" xr:uid="{00000000-0005-0000-0000-0000651D0000}"/>
    <cellStyle name="SAPBEXexcBad9 2 4 2" xfId="7401" xr:uid="{00000000-0005-0000-0000-0000661D0000}"/>
    <cellStyle name="SAPBEXexcBad9 2 4 2 2" xfId="7402" xr:uid="{00000000-0005-0000-0000-0000671D0000}"/>
    <cellStyle name="SAPBEXexcBad9 2 4 2 3" xfId="7403" xr:uid="{00000000-0005-0000-0000-0000681D0000}"/>
    <cellStyle name="SAPBEXexcBad9 2 4 2 4" xfId="7404" xr:uid="{00000000-0005-0000-0000-0000691D0000}"/>
    <cellStyle name="SAPBEXexcBad9 2 4 2 5" xfId="7405" xr:uid="{00000000-0005-0000-0000-00006A1D0000}"/>
    <cellStyle name="SAPBEXexcBad9 2 4 2 6" xfId="7406" xr:uid="{00000000-0005-0000-0000-00006B1D0000}"/>
    <cellStyle name="SAPBEXexcBad9 2 4 3" xfId="7407" xr:uid="{00000000-0005-0000-0000-00006C1D0000}"/>
    <cellStyle name="SAPBEXexcBad9 2 4 3 2" xfId="7408" xr:uid="{00000000-0005-0000-0000-00006D1D0000}"/>
    <cellStyle name="SAPBEXexcBad9 2 4 3 3" xfId="7409" xr:uid="{00000000-0005-0000-0000-00006E1D0000}"/>
    <cellStyle name="SAPBEXexcBad9 2 4 3 4" xfId="7410" xr:uid="{00000000-0005-0000-0000-00006F1D0000}"/>
    <cellStyle name="SAPBEXexcBad9 2 4 3 5" xfId="7411" xr:uid="{00000000-0005-0000-0000-0000701D0000}"/>
    <cellStyle name="SAPBEXexcBad9 2 4 3 6" xfId="7412" xr:uid="{00000000-0005-0000-0000-0000711D0000}"/>
    <cellStyle name="SAPBEXexcBad9 2 4 4" xfId="7413" xr:uid="{00000000-0005-0000-0000-0000721D0000}"/>
    <cellStyle name="SAPBEXexcBad9 2 4 4 2" xfId="7414" xr:uid="{00000000-0005-0000-0000-0000731D0000}"/>
    <cellStyle name="SAPBEXexcBad9 2 4 4 3" xfId="7415" xr:uid="{00000000-0005-0000-0000-0000741D0000}"/>
    <cellStyle name="SAPBEXexcBad9 2 4 4 4" xfId="7416" xr:uid="{00000000-0005-0000-0000-0000751D0000}"/>
    <cellStyle name="SAPBEXexcBad9 2 4 4 5" xfId="7417" xr:uid="{00000000-0005-0000-0000-0000761D0000}"/>
    <cellStyle name="SAPBEXexcBad9 2 4 4 6" xfId="7418" xr:uid="{00000000-0005-0000-0000-0000771D0000}"/>
    <cellStyle name="SAPBEXexcBad9 2 4 5" xfId="7419" xr:uid="{00000000-0005-0000-0000-0000781D0000}"/>
    <cellStyle name="SAPBEXexcBad9 2 4 5 2" xfId="7420" xr:uid="{00000000-0005-0000-0000-0000791D0000}"/>
    <cellStyle name="SAPBEXexcBad9 2 4 5 3" xfId="7421" xr:uid="{00000000-0005-0000-0000-00007A1D0000}"/>
    <cellStyle name="SAPBEXexcBad9 2 4 5 4" xfId="7422" xr:uid="{00000000-0005-0000-0000-00007B1D0000}"/>
    <cellStyle name="SAPBEXexcBad9 2 4 5 5" xfId="7423" xr:uid="{00000000-0005-0000-0000-00007C1D0000}"/>
    <cellStyle name="SAPBEXexcBad9 2 4 5 6" xfId="7424" xr:uid="{00000000-0005-0000-0000-00007D1D0000}"/>
    <cellStyle name="SAPBEXexcBad9 2 4 6" xfId="7425" xr:uid="{00000000-0005-0000-0000-00007E1D0000}"/>
    <cellStyle name="SAPBEXexcBad9 2 4 7" xfId="7426" xr:uid="{00000000-0005-0000-0000-00007F1D0000}"/>
    <cellStyle name="SAPBEXexcBad9 2 4 8" xfId="7427" xr:uid="{00000000-0005-0000-0000-0000801D0000}"/>
    <cellStyle name="SAPBEXexcBad9 2 5" xfId="7428" xr:uid="{00000000-0005-0000-0000-0000811D0000}"/>
    <cellStyle name="SAPBEXexcBad9 2 5 2" xfId="7429" xr:uid="{00000000-0005-0000-0000-0000821D0000}"/>
    <cellStyle name="SAPBEXexcBad9 2 5 3" xfId="7430" xr:uid="{00000000-0005-0000-0000-0000831D0000}"/>
    <cellStyle name="SAPBEXexcBad9 2 5 4" xfId="7431" xr:uid="{00000000-0005-0000-0000-0000841D0000}"/>
    <cellStyle name="SAPBEXexcBad9 2 6" xfId="7432" xr:uid="{00000000-0005-0000-0000-0000851D0000}"/>
    <cellStyle name="SAPBEXexcBad9 2 6 2" xfId="7433" xr:uid="{00000000-0005-0000-0000-0000861D0000}"/>
    <cellStyle name="SAPBEXexcBad9 2 6 3" xfId="7434" xr:uid="{00000000-0005-0000-0000-0000871D0000}"/>
    <cellStyle name="SAPBEXexcBad9 2 6 4" xfId="7435" xr:uid="{00000000-0005-0000-0000-0000881D0000}"/>
    <cellStyle name="SAPBEXexcBad9 2 7" xfId="7436" xr:uid="{00000000-0005-0000-0000-0000891D0000}"/>
    <cellStyle name="SAPBEXexcBad9 2 7 2" xfId="7437" xr:uid="{00000000-0005-0000-0000-00008A1D0000}"/>
    <cellStyle name="SAPBEXexcBad9 2 7 3" xfId="7438" xr:uid="{00000000-0005-0000-0000-00008B1D0000}"/>
    <cellStyle name="SAPBEXexcBad9 2 7 4" xfId="7439" xr:uid="{00000000-0005-0000-0000-00008C1D0000}"/>
    <cellStyle name="SAPBEXexcBad9 2 8" xfId="7440" xr:uid="{00000000-0005-0000-0000-00008D1D0000}"/>
    <cellStyle name="SAPBEXexcBad9 2 8 2" xfId="7441" xr:uid="{00000000-0005-0000-0000-00008E1D0000}"/>
    <cellStyle name="SAPBEXexcBad9 2 8 3" xfId="7442" xr:uid="{00000000-0005-0000-0000-00008F1D0000}"/>
    <cellStyle name="SAPBEXexcBad9 2 8 4" xfId="7443" xr:uid="{00000000-0005-0000-0000-0000901D0000}"/>
    <cellStyle name="SAPBEXexcBad9 2 9" xfId="7444" xr:uid="{00000000-0005-0000-0000-0000911D0000}"/>
    <cellStyle name="SAPBEXexcBad9 2 9 2" xfId="7445" xr:uid="{00000000-0005-0000-0000-0000921D0000}"/>
    <cellStyle name="SAPBEXexcBad9 2 9 3" xfId="7446" xr:uid="{00000000-0005-0000-0000-0000931D0000}"/>
    <cellStyle name="SAPBEXexcBad9 2 9 4" xfId="7447" xr:uid="{00000000-0005-0000-0000-0000941D0000}"/>
    <cellStyle name="SAPBEXexcBad9 20" xfId="7448" xr:uid="{00000000-0005-0000-0000-0000951D0000}"/>
    <cellStyle name="SAPBEXexcBad9 20 2" xfId="7449" xr:uid="{00000000-0005-0000-0000-0000961D0000}"/>
    <cellStyle name="SAPBEXexcBad9 20 3" xfId="7450" xr:uid="{00000000-0005-0000-0000-0000971D0000}"/>
    <cellStyle name="SAPBEXexcBad9 20 4" xfId="7451" xr:uid="{00000000-0005-0000-0000-0000981D0000}"/>
    <cellStyle name="SAPBEXexcBad9 20 5" xfId="7452" xr:uid="{00000000-0005-0000-0000-0000991D0000}"/>
    <cellStyle name="SAPBEXexcBad9 20 6" xfId="7453" xr:uid="{00000000-0005-0000-0000-00009A1D0000}"/>
    <cellStyle name="SAPBEXexcBad9 21" xfId="7454" xr:uid="{00000000-0005-0000-0000-00009B1D0000}"/>
    <cellStyle name="SAPBEXexcBad9 21 2" xfId="7455" xr:uid="{00000000-0005-0000-0000-00009C1D0000}"/>
    <cellStyle name="SAPBEXexcBad9 21 3" xfId="7456" xr:uid="{00000000-0005-0000-0000-00009D1D0000}"/>
    <cellStyle name="SAPBEXexcBad9 21 4" xfId="7457" xr:uid="{00000000-0005-0000-0000-00009E1D0000}"/>
    <cellStyle name="SAPBEXexcBad9 21 5" xfId="7458" xr:uid="{00000000-0005-0000-0000-00009F1D0000}"/>
    <cellStyle name="SAPBEXexcBad9 21 6" xfId="7459" xr:uid="{00000000-0005-0000-0000-0000A01D0000}"/>
    <cellStyle name="SAPBEXexcBad9 22" xfId="7460" xr:uid="{00000000-0005-0000-0000-0000A11D0000}"/>
    <cellStyle name="SAPBEXexcBad9 22 2" xfId="7461" xr:uid="{00000000-0005-0000-0000-0000A21D0000}"/>
    <cellStyle name="SAPBEXexcBad9 22 3" xfId="7462" xr:uid="{00000000-0005-0000-0000-0000A31D0000}"/>
    <cellStyle name="SAPBEXexcBad9 22 4" xfId="7463" xr:uid="{00000000-0005-0000-0000-0000A41D0000}"/>
    <cellStyle name="SAPBEXexcBad9 22 5" xfId="7464" xr:uid="{00000000-0005-0000-0000-0000A51D0000}"/>
    <cellStyle name="SAPBEXexcBad9 22 6" xfId="7465" xr:uid="{00000000-0005-0000-0000-0000A61D0000}"/>
    <cellStyle name="SAPBEXexcBad9 23" xfId="7466" xr:uid="{00000000-0005-0000-0000-0000A71D0000}"/>
    <cellStyle name="SAPBEXexcBad9 23 2" xfId="7467" xr:uid="{00000000-0005-0000-0000-0000A81D0000}"/>
    <cellStyle name="SAPBEXexcBad9 23 3" xfId="7468" xr:uid="{00000000-0005-0000-0000-0000A91D0000}"/>
    <cellStyle name="SAPBEXexcBad9 23 4" xfId="7469" xr:uid="{00000000-0005-0000-0000-0000AA1D0000}"/>
    <cellStyle name="SAPBEXexcBad9 23 5" xfId="7470" xr:uid="{00000000-0005-0000-0000-0000AB1D0000}"/>
    <cellStyle name="SAPBEXexcBad9 23 6" xfId="7471" xr:uid="{00000000-0005-0000-0000-0000AC1D0000}"/>
    <cellStyle name="SAPBEXexcBad9 24" xfId="7472" xr:uid="{00000000-0005-0000-0000-0000AD1D0000}"/>
    <cellStyle name="SAPBEXexcBad9 24 2" xfId="7473" xr:uid="{00000000-0005-0000-0000-0000AE1D0000}"/>
    <cellStyle name="SAPBEXexcBad9 24 3" xfId="7474" xr:uid="{00000000-0005-0000-0000-0000AF1D0000}"/>
    <cellStyle name="SAPBEXexcBad9 24 4" xfId="7475" xr:uid="{00000000-0005-0000-0000-0000B01D0000}"/>
    <cellStyle name="SAPBEXexcBad9 24 5" xfId="7476" xr:uid="{00000000-0005-0000-0000-0000B11D0000}"/>
    <cellStyle name="SAPBEXexcBad9 24 6" xfId="7477" xr:uid="{00000000-0005-0000-0000-0000B21D0000}"/>
    <cellStyle name="SAPBEXexcBad9 25" xfId="7478" xr:uid="{00000000-0005-0000-0000-0000B31D0000}"/>
    <cellStyle name="SAPBEXexcBad9 25 2" xfId="7479" xr:uid="{00000000-0005-0000-0000-0000B41D0000}"/>
    <cellStyle name="SAPBEXexcBad9 25 3" xfId="7480" xr:uid="{00000000-0005-0000-0000-0000B51D0000}"/>
    <cellStyle name="SAPBEXexcBad9 25 4" xfId="7481" xr:uid="{00000000-0005-0000-0000-0000B61D0000}"/>
    <cellStyle name="SAPBEXexcBad9 25 5" xfId="7482" xr:uid="{00000000-0005-0000-0000-0000B71D0000}"/>
    <cellStyle name="SAPBEXexcBad9 25 6" xfId="7483" xr:uid="{00000000-0005-0000-0000-0000B81D0000}"/>
    <cellStyle name="SAPBEXexcBad9 26" xfId="7484" xr:uid="{00000000-0005-0000-0000-0000B91D0000}"/>
    <cellStyle name="SAPBEXexcBad9 26 2" xfId="7485" xr:uid="{00000000-0005-0000-0000-0000BA1D0000}"/>
    <cellStyle name="SAPBEXexcBad9 26 3" xfId="7486" xr:uid="{00000000-0005-0000-0000-0000BB1D0000}"/>
    <cellStyle name="SAPBEXexcBad9 26 4" xfId="7487" xr:uid="{00000000-0005-0000-0000-0000BC1D0000}"/>
    <cellStyle name="SAPBEXexcBad9 26 5" xfId="7488" xr:uid="{00000000-0005-0000-0000-0000BD1D0000}"/>
    <cellStyle name="SAPBEXexcBad9 26 6" xfId="7489" xr:uid="{00000000-0005-0000-0000-0000BE1D0000}"/>
    <cellStyle name="SAPBEXexcBad9 27" xfId="7490" xr:uid="{00000000-0005-0000-0000-0000BF1D0000}"/>
    <cellStyle name="SAPBEXexcBad9 27 2" xfId="7491" xr:uid="{00000000-0005-0000-0000-0000C01D0000}"/>
    <cellStyle name="SAPBEXexcBad9 27 3" xfId="7492" xr:uid="{00000000-0005-0000-0000-0000C11D0000}"/>
    <cellStyle name="SAPBEXexcBad9 27 4" xfId="7493" xr:uid="{00000000-0005-0000-0000-0000C21D0000}"/>
    <cellStyle name="SAPBEXexcBad9 27 5" xfId="7494" xr:uid="{00000000-0005-0000-0000-0000C31D0000}"/>
    <cellStyle name="SAPBEXexcBad9 27 6" xfId="7495" xr:uid="{00000000-0005-0000-0000-0000C41D0000}"/>
    <cellStyle name="SAPBEXexcBad9 28" xfId="7496" xr:uid="{00000000-0005-0000-0000-0000C51D0000}"/>
    <cellStyle name="SAPBEXexcBad9 28 2" xfId="7497" xr:uid="{00000000-0005-0000-0000-0000C61D0000}"/>
    <cellStyle name="SAPBEXexcBad9 28 3" xfId="7498" xr:uid="{00000000-0005-0000-0000-0000C71D0000}"/>
    <cellStyle name="SAPBEXexcBad9 28 4" xfId="7499" xr:uid="{00000000-0005-0000-0000-0000C81D0000}"/>
    <cellStyle name="SAPBEXexcBad9 28 5" xfId="7500" xr:uid="{00000000-0005-0000-0000-0000C91D0000}"/>
    <cellStyle name="SAPBEXexcBad9 28 6" xfId="7501" xr:uid="{00000000-0005-0000-0000-0000CA1D0000}"/>
    <cellStyle name="SAPBEXexcBad9 29" xfId="7502" xr:uid="{00000000-0005-0000-0000-0000CB1D0000}"/>
    <cellStyle name="SAPBEXexcBad9 29 2" xfId="7503" xr:uid="{00000000-0005-0000-0000-0000CC1D0000}"/>
    <cellStyle name="SAPBEXexcBad9 29 3" xfId="7504" xr:uid="{00000000-0005-0000-0000-0000CD1D0000}"/>
    <cellStyle name="SAPBEXexcBad9 29 4" xfId="7505" xr:uid="{00000000-0005-0000-0000-0000CE1D0000}"/>
    <cellStyle name="SAPBEXexcBad9 29 5" xfId="7506" xr:uid="{00000000-0005-0000-0000-0000CF1D0000}"/>
    <cellStyle name="SAPBEXexcBad9 29 6" xfId="7507" xr:uid="{00000000-0005-0000-0000-0000D01D0000}"/>
    <cellStyle name="SAPBEXexcBad9 3" xfId="7508" xr:uid="{00000000-0005-0000-0000-0000D11D0000}"/>
    <cellStyle name="SAPBEXexcBad9 3 10" xfId="7509" xr:uid="{00000000-0005-0000-0000-0000D21D0000}"/>
    <cellStyle name="SAPBEXexcBad9 3 11" xfId="7510" xr:uid="{00000000-0005-0000-0000-0000D31D0000}"/>
    <cellStyle name="SAPBEXexcBad9 3 12" xfId="7511" xr:uid="{00000000-0005-0000-0000-0000D41D0000}"/>
    <cellStyle name="SAPBEXexcBad9 3 2" xfId="7512" xr:uid="{00000000-0005-0000-0000-0000D51D0000}"/>
    <cellStyle name="SAPBEXexcBad9 3 2 2" xfId="7513" xr:uid="{00000000-0005-0000-0000-0000D61D0000}"/>
    <cellStyle name="SAPBEXexcBad9 3 2 2 2" xfId="7514" xr:uid="{00000000-0005-0000-0000-0000D71D0000}"/>
    <cellStyle name="SAPBEXexcBad9 3 2 2 3" xfId="7515" xr:uid="{00000000-0005-0000-0000-0000D81D0000}"/>
    <cellStyle name="SAPBEXexcBad9 3 2 2 4" xfId="7516" xr:uid="{00000000-0005-0000-0000-0000D91D0000}"/>
    <cellStyle name="SAPBEXexcBad9 3 2 2 5" xfId="7517" xr:uid="{00000000-0005-0000-0000-0000DA1D0000}"/>
    <cellStyle name="SAPBEXexcBad9 3 2 2 6" xfId="7518" xr:uid="{00000000-0005-0000-0000-0000DB1D0000}"/>
    <cellStyle name="SAPBEXexcBad9 3 2 3" xfId="7519" xr:uid="{00000000-0005-0000-0000-0000DC1D0000}"/>
    <cellStyle name="SAPBEXexcBad9 3 2 3 2" xfId="7520" xr:uid="{00000000-0005-0000-0000-0000DD1D0000}"/>
    <cellStyle name="SAPBEXexcBad9 3 2 3 3" xfId="7521" xr:uid="{00000000-0005-0000-0000-0000DE1D0000}"/>
    <cellStyle name="SAPBEXexcBad9 3 2 3 4" xfId="7522" xr:uid="{00000000-0005-0000-0000-0000DF1D0000}"/>
    <cellStyle name="SAPBEXexcBad9 3 2 3 5" xfId="7523" xr:uid="{00000000-0005-0000-0000-0000E01D0000}"/>
    <cellStyle name="SAPBEXexcBad9 3 2 3 6" xfId="7524" xr:uid="{00000000-0005-0000-0000-0000E11D0000}"/>
    <cellStyle name="SAPBEXexcBad9 3 2 4" xfId="7525" xr:uid="{00000000-0005-0000-0000-0000E21D0000}"/>
    <cellStyle name="SAPBEXexcBad9 3 2 4 2" xfId="7526" xr:uid="{00000000-0005-0000-0000-0000E31D0000}"/>
    <cellStyle name="SAPBEXexcBad9 3 2 4 3" xfId="7527" xr:uid="{00000000-0005-0000-0000-0000E41D0000}"/>
    <cellStyle name="SAPBEXexcBad9 3 2 4 4" xfId="7528" xr:uid="{00000000-0005-0000-0000-0000E51D0000}"/>
    <cellStyle name="SAPBEXexcBad9 3 2 4 5" xfId="7529" xr:uid="{00000000-0005-0000-0000-0000E61D0000}"/>
    <cellStyle name="SAPBEXexcBad9 3 2 4 6" xfId="7530" xr:uid="{00000000-0005-0000-0000-0000E71D0000}"/>
    <cellStyle name="SAPBEXexcBad9 3 2 5" xfId="7531" xr:uid="{00000000-0005-0000-0000-0000E81D0000}"/>
    <cellStyle name="SAPBEXexcBad9 3 2 5 2" xfId="7532" xr:uid="{00000000-0005-0000-0000-0000E91D0000}"/>
    <cellStyle name="SAPBEXexcBad9 3 2 5 3" xfId="7533" xr:uid="{00000000-0005-0000-0000-0000EA1D0000}"/>
    <cellStyle name="SAPBEXexcBad9 3 2 5 4" xfId="7534" xr:uid="{00000000-0005-0000-0000-0000EB1D0000}"/>
    <cellStyle name="SAPBEXexcBad9 3 2 5 5" xfId="7535" xr:uid="{00000000-0005-0000-0000-0000EC1D0000}"/>
    <cellStyle name="SAPBEXexcBad9 3 2 5 6" xfId="7536" xr:uid="{00000000-0005-0000-0000-0000ED1D0000}"/>
    <cellStyle name="SAPBEXexcBad9 3 2 6" xfId="7537" xr:uid="{00000000-0005-0000-0000-0000EE1D0000}"/>
    <cellStyle name="SAPBEXexcBad9 3 2 7" xfId="7538" xr:uid="{00000000-0005-0000-0000-0000EF1D0000}"/>
    <cellStyle name="SAPBEXexcBad9 3 2 8" xfId="7539" xr:uid="{00000000-0005-0000-0000-0000F01D0000}"/>
    <cellStyle name="SAPBEXexcBad9 3 3" xfId="7540" xr:uid="{00000000-0005-0000-0000-0000F11D0000}"/>
    <cellStyle name="SAPBEXexcBad9 3 3 2" xfId="7541" xr:uid="{00000000-0005-0000-0000-0000F21D0000}"/>
    <cellStyle name="SAPBEXexcBad9 3 3 3" xfId="7542" xr:uid="{00000000-0005-0000-0000-0000F31D0000}"/>
    <cellStyle name="SAPBEXexcBad9 3 3 4" xfId="7543" xr:uid="{00000000-0005-0000-0000-0000F41D0000}"/>
    <cellStyle name="SAPBEXexcBad9 3 3 5" xfId="7544" xr:uid="{00000000-0005-0000-0000-0000F51D0000}"/>
    <cellStyle name="SAPBEXexcBad9 3 3 6" xfId="7545" xr:uid="{00000000-0005-0000-0000-0000F61D0000}"/>
    <cellStyle name="SAPBEXexcBad9 3 4" xfId="7546" xr:uid="{00000000-0005-0000-0000-0000F71D0000}"/>
    <cellStyle name="SAPBEXexcBad9 3 4 2" xfId="7547" xr:uid="{00000000-0005-0000-0000-0000F81D0000}"/>
    <cellStyle name="SAPBEXexcBad9 3 4 3" xfId="7548" xr:uid="{00000000-0005-0000-0000-0000F91D0000}"/>
    <cellStyle name="SAPBEXexcBad9 3 4 4" xfId="7549" xr:uid="{00000000-0005-0000-0000-0000FA1D0000}"/>
    <cellStyle name="SAPBEXexcBad9 3 4 5" xfId="7550" xr:uid="{00000000-0005-0000-0000-0000FB1D0000}"/>
    <cellStyle name="SAPBEXexcBad9 3 4 6" xfId="7551" xr:uid="{00000000-0005-0000-0000-0000FC1D0000}"/>
    <cellStyle name="SAPBEXexcBad9 3 5" xfId="7552" xr:uid="{00000000-0005-0000-0000-0000FD1D0000}"/>
    <cellStyle name="SAPBEXexcBad9 3 5 2" xfId="7553" xr:uid="{00000000-0005-0000-0000-0000FE1D0000}"/>
    <cellStyle name="SAPBEXexcBad9 3 5 3" xfId="7554" xr:uid="{00000000-0005-0000-0000-0000FF1D0000}"/>
    <cellStyle name="SAPBEXexcBad9 3 5 4" xfId="7555" xr:uid="{00000000-0005-0000-0000-0000001E0000}"/>
    <cellStyle name="SAPBEXexcBad9 3 6" xfId="7556" xr:uid="{00000000-0005-0000-0000-0000011E0000}"/>
    <cellStyle name="SAPBEXexcBad9 3 6 2" xfId="7557" xr:uid="{00000000-0005-0000-0000-0000021E0000}"/>
    <cellStyle name="SAPBEXexcBad9 3 6 3" xfId="7558" xr:uid="{00000000-0005-0000-0000-0000031E0000}"/>
    <cellStyle name="SAPBEXexcBad9 3 6 4" xfId="7559" xr:uid="{00000000-0005-0000-0000-0000041E0000}"/>
    <cellStyle name="SAPBEXexcBad9 3 7" xfId="7560" xr:uid="{00000000-0005-0000-0000-0000051E0000}"/>
    <cellStyle name="SAPBEXexcBad9 3 7 2" xfId="7561" xr:uid="{00000000-0005-0000-0000-0000061E0000}"/>
    <cellStyle name="SAPBEXexcBad9 3 7 3" xfId="7562" xr:uid="{00000000-0005-0000-0000-0000071E0000}"/>
    <cellStyle name="SAPBEXexcBad9 3 7 4" xfId="7563" xr:uid="{00000000-0005-0000-0000-0000081E0000}"/>
    <cellStyle name="SAPBEXexcBad9 3 8" xfId="7564" xr:uid="{00000000-0005-0000-0000-0000091E0000}"/>
    <cellStyle name="SAPBEXexcBad9 3 9" xfId="7565" xr:uid="{00000000-0005-0000-0000-00000A1E0000}"/>
    <cellStyle name="SAPBEXexcBad9 30" xfId="7566" xr:uid="{00000000-0005-0000-0000-00000B1E0000}"/>
    <cellStyle name="SAPBEXexcBad9 30 2" xfId="7567" xr:uid="{00000000-0005-0000-0000-00000C1E0000}"/>
    <cellStyle name="SAPBEXexcBad9 30 3" xfId="7568" xr:uid="{00000000-0005-0000-0000-00000D1E0000}"/>
    <cellStyle name="SAPBEXexcBad9 30 4" xfId="7569" xr:uid="{00000000-0005-0000-0000-00000E1E0000}"/>
    <cellStyle name="SAPBEXexcBad9 30 5" xfId="7570" xr:uid="{00000000-0005-0000-0000-00000F1E0000}"/>
    <cellStyle name="SAPBEXexcBad9 30 6" xfId="7571" xr:uid="{00000000-0005-0000-0000-0000101E0000}"/>
    <cellStyle name="SAPBEXexcBad9 31" xfId="7572" xr:uid="{00000000-0005-0000-0000-0000111E0000}"/>
    <cellStyle name="SAPBEXexcBad9 31 2" xfId="7573" xr:uid="{00000000-0005-0000-0000-0000121E0000}"/>
    <cellStyle name="SAPBEXexcBad9 31 3" xfId="7574" xr:uid="{00000000-0005-0000-0000-0000131E0000}"/>
    <cellStyle name="SAPBEXexcBad9 31 4" xfId="7575" xr:uid="{00000000-0005-0000-0000-0000141E0000}"/>
    <cellStyle name="SAPBEXexcBad9 31 5" xfId="7576" xr:uid="{00000000-0005-0000-0000-0000151E0000}"/>
    <cellStyle name="SAPBEXexcBad9 31 6" xfId="7577" xr:uid="{00000000-0005-0000-0000-0000161E0000}"/>
    <cellStyle name="SAPBEXexcBad9 32" xfId="7578" xr:uid="{00000000-0005-0000-0000-0000171E0000}"/>
    <cellStyle name="SAPBEXexcBad9 32 2" xfId="7579" xr:uid="{00000000-0005-0000-0000-0000181E0000}"/>
    <cellStyle name="SAPBEXexcBad9 32 3" xfId="7580" xr:uid="{00000000-0005-0000-0000-0000191E0000}"/>
    <cellStyle name="SAPBEXexcBad9 32 4" xfId="7581" xr:uid="{00000000-0005-0000-0000-00001A1E0000}"/>
    <cellStyle name="SAPBEXexcBad9 32 5" xfId="7582" xr:uid="{00000000-0005-0000-0000-00001B1E0000}"/>
    <cellStyle name="SAPBEXexcBad9 32 6" xfId="7583" xr:uid="{00000000-0005-0000-0000-00001C1E0000}"/>
    <cellStyle name="SAPBEXexcBad9 33" xfId="7584" xr:uid="{00000000-0005-0000-0000-00001D1E0000}"/>
    <cellStyle name="SAPBEXexcBad9 34" xfId="7585" xr:uid="{00000000-0005-0000-0000-00001E1E0000}"/>
    <cellStyle name="SAPBEXexcBad9 35" xfId="7586" xr:uid="{00000000-0005-0000-0000-00001F1E0000}"/>
    <cellStyle name="SAPBEXexcBad9 36" xfId="27828" xr:uid="{00000000-0005-0000-0000-0000201E0000}"/>
    <cellStyle name="SAPBEXexcBad9 37" xfId="27909" xr:uid="{00000000-0005-0000-0000-0000211E0000}"/>
    <cellStyle name="SAPBEXexcBad9 38" xfId="28009" xr:uid="{00000000-0005-0000-0000-0000221E0000}"/>
    <cellStyle name="SAPBEXexcBad9 39" xfId="28147" xr:uid="{00000000-0005-0000-0000-0000231E0000}"/>
    <cellStyle name="SAPBEXexcBad9 4" xfId="7587" xr:uid="{00000000-0005-0000-0000-0000241E0000}"/>
    <cellStyle name="SAPBEXexcBad9 4 2" xfId="7588" xr:uid="{00000000-0005-0000-0000-0000251E0000}"/>
    <cellStyle name="SAPBEXexcBad9 4 3" xfId="7589" xr:uid="{00000000-0005-0000-0000-0000261E0000}"/>
    <cellStyle name="SAPBEXexcBad9 4 4" xfId="7590" xr:uid="{00000000-0005-0000-0000-0000271E0000}"/>
    <cellStyle name="SAPBEXexcBad9 4 5" xfId="7591" xr:uid="{00000000-0005-0000-0000-0000281E0000}"/>
    <cellStyle name="SAPBEXexcBad9 4 6" xfId="7592" xr:uid="{00000000-0005-0000-0000-0000291E0000}"/>
    <cellStyle name="SAPBEXexcBad9 5" xfId="7593" xr:uid="{00000000-0005-0000-0000-00002A1E0000}"/>
    <cellStyle name="SAPBEXexcBad9 5 2" xfId="7594" xr:uid="{00000000-0005-0000-0000-00002B1E0000}"/>
    <cellStyle name="SAPBEXexcBad9 5 3" xfId="7595" xr:uid="{00000000-0005-0000-0000-00002C1E0000}"/>
    <cellStyle name="SAPBEXexcBad9 5 4" xfId="7596" xr:uid="{00000000-0005-0000-0000-00002D1E0000}"/>
    <cellStyle name="SAPBEXexcBad9 5 5" xfId="7597" xr:uid="{00000000-0005-0000-0000-00002E1E0000}"/>
    <cellStyle name="SAPBEXexcBad9 5 6" xfId="7598" xr:uid="{00000000-0005-0000-0000-00002F1E0000}"/>
    <cellStyle name="SAPBEXexcBad9 6" xfId="7599" xr:uid="{00000000-0005-0000-0000-0000301E0000}"/>
    <cellStyle name="SAPBEXexcBad9 6 10" xfId="7600" xr:uid="{00000000-0005-0000-0000-0000311E0000}"/>
    <cellStyle name="SAPBEXexcBad9 6 2" xfId="7601" xr:uid="{00000000-0005-0000-0000-0000321E0000}"/>
    <cellStyle name="SAPBEXexcBad9 6 2 2" xfId="7602" xr:uid="{00000000-0005-0000-0000-0000331E0000}"/>
    <cellStyle name="SAPBEXexcBad9 6 2 3" xfId="7603" xr:uid="{00000000-0005-0000-0000-0000341E0000}"/>
    <cellStyle name="SAPBEXexcBad9 6 2 4" xfId="7604" xr:uid="{00000000-0005-0000-0000-0000351E0000}"/>
    <cellStyle name="SAPBEXexcBad9 6 3" xfId="7605" xr:uid="{00000000-0005-0000-0000-0000361E0000}"/>
    <cellStyle name="SAPBEXexcBad9 6 3 2" xfId="7606" xr:uid="{00000000-0005-0000-0000-0000371E0000}"/>
    <cellStyle name="SAPBEXexcBad9 6 3 3" xfId="7607" xr:uid="{00000000-0005-0000-0000-0000381E0000}"/>
    <cellStyle name="SAPBEXexcBad9 6 3 4" xfId="7608" xr:uid="{00000000-0005-0000-0000-0000391E0000}"/>
    <cellStyle name="SAPBEXexcBad9 6 4" xfId="7609" xr:uid="{00000000-0005-0000-0000-00003A1E0000}"/>
    <cellStyle name="SAPBEXexcBad9 6 4 2" xfId="7610" xr:uid="{00000000-0005-0000-0000-00003B1E0000}"/>
    <cellStyle name="SAPBEXexcBad9 6 4 3" xfId="7611" xr:uid="{00000000-0005-0000-0000-00003C1E0000}"/>
    <cellStyle name="SAPBEXexcBad9 6 4 4" xfId="7612" xr:uid="{00000000-0005-0000-0000-00003D1E0000}"/>
    <cellStyle name="SAPBEXexcBad9 6 5" xfId="7613" xr:uid="{00000000-0005-0000-0000-00003E1E0000}"/>
    <cellStyle name="SAPBEXexcBad9 6 5 2" xfId="7614" xr:uid="{00000000-0005-0000-0000-00003F1E0000}"/>
    <cellStyle name="SAPBEXexcBad9 6 5 3" xfId="7615" xr:uid="{00000000-0005-0000-0000-0000401E0000}"/>
    <cellStyle name="SAPBEXexcBad9 6 5 4" xfId="7616" xr:uid="{00000000-0005-0000-0000-0000411E0000}"/>
    <cellStyle name="SAPBEXexcBad9 6 6" xfId="7617" xr:uid="{00000000-0005-0000-0000-0000421E0000}"/>
    <cellStyle name="SAPBEXexcBad9 6 7" xfId="7618" xr:uid="{00000000-0005-0000-0000-0000431E0000}"/>
    <cellStyle name="SAPBEXexcBad9 6 8" xfId="7619" xr:uid="{00000000-0005-0000-0000-0000441E0000}"/>
    <cellStyle name="SAPBEXexcBad9 6 9" xfId="7620" xr:uid="{00000000-0005-0000-0000-0000451E0000}"/>
    <cellStyle name="SAPBEXexcBad9 7" xfId="7621" xr:uid="{00000000-0005-0000-0000-0000461E0000}"/>
    <cellStyle name="SAPBEXexcBad9 7 10" xfId="7622" xr:uid="{00000000-0005-0000-0000-0000471E0000}"/>
    <cellStyle name="SAPBEXexcBad9 7 2" xfId="7623" xr:uid="{00000000-0005-0000-0000-0000481E0000}"/>
    <cellStyle name="SAPBEXexcBad9 7 2 2" xfId="7624" xr:uid="{00000000-0005-0000-0000-0000491E0000}"/>
    <cellStyle name="SAPBEXexcBad9 7 2 3" xfId="7625" xr:uid="{00000000-0005-0000-0000-00004A1E0000}"/>
    <cellStyle name="SAPBEXexcBad9 7 2 4" xfId="7626" xr:uid="{00000000-0005-0000-0000-00004B1E0000}"/>
    <cellStyle name="SAPBEXexcBad9 7 3" xfId="7627" xr:uid="{00000000-0005-0000-0000-00004C1E0000}"/>
    <cellStyle name="SAPBEXexcBad9 7 3 2" xfId="7628" xr:uid="{00000000-0005-0000-0000-00004D1E0000}"/>
    <cellStyle name="SAPBEXexcBad9 7 3 3" xfId="7629" xr:uid="{00000000-0005-0000-0000-00004E1E0000}"/>
    <cellStyle name="SAPBEXexcBad9 7 3 4" xfId="7630" xr:uid="{00000000-0005-0000-0000-00004F1E0000}"/>
    <cellStyle name="SAPBEXexcBad9 7 4" xfId="7631" xr:uid="{00000000-0005-0000-0000-0000501E0000}"/>
    <cellStyle name="SAPBEXexcBad9 7 4 2" xfId="7632" xr:uid="{00000000-0005-0000-0000-0000511E0000}"/>
    <cellStyle name="SAPBEXexcBad9 7 4 3" xfId="7633" xr:uid="{00000000-0005-0000-0000-0000521E0000}"/>
    <cellStyle name="SAPBEXexcBad9 7 4 4" xfId="7634" xr:uid="{00000000-0005-0000-0000-0000531E0000}"/>
    <cellStyle name="SAPBEXexcBad9 7 5" xfId="7635" xr:uid="{00000000-0005-0000-0000-0000541E0000}"/>
    <cellStyle name="SAPBEXexcBad9 7 5 2" xfId="7636" xr:uid="{00000000-0005-0000-0000-0000551E0000}"/>
    <cellStyle name="SAPBEXexcBad9 7 5 3" xfId="7637" xr:uid="{00000000-0005-0000-0000-0000561E0000}"/>
    <cellStyle name="SAPBEXexcBad9 7 5 4" xfId="7638" xr:uid="{00000000-0005-0000-0000-0000571E0000}"/>
    <cellStyle name="SAPBEXexcBad9 7 6" xfId="7639" xr:uid="{00000000-0005-0000-0000-0000581E0000}"/>
    <cellStyle name="SAPBEXexcBad9 7 7" xfId="7640" xr:uid="{00000000-0005-0000-0000-0000591E0000}"/>
    <cellStyle name="SAPBEXexcBad9 7 8" xfId="7641" xr:uid="{00000000-0005-0000-0000-00005A1E0000}"/>
    <cellStyle name="SAPBEXexcBad9 7 9" xfId="7642" xr:uid="{00000000-0005-0000-0000-00005B1E0000}"/>
    <cellStyle name="SAPBEXexcBad9 8" xfId="7643" xr:uid="{00000000-0005-0000-0000-00005C1E0000}"/>
    <cellStyle name="SAPBEXexcBad9 8 2" xfId="7644" xr:uid="{00000000-0005-0000-0000-00005D1E0000}"/>
    <cellStyle name="SAPBEXexcBad9 8 3" xfId="7645" xr:uid="{00000000-0005-0000-0000-00005E1E0000}"/>
    <cellStyle name="SAPBEXexcBad9 8 4" xfId="7646" xr:uid="{00000000-0005-0000-0000-00005F1E0000}"/>
    <cellStyle name="SAPBEXexcBad9 8 5" xfId="7647" xr:uid="{00000000-0005-0000-0000-0000601E0000}"/>
    <cellStyle name="SAPBEXexcBad9 8 6" xfId="7648" xr:uid="{00000000-0005-0000-0000-0000611E0000}"/>
    <cellStyle name="SAPBEXexcBad9 9" xfId="7649" xr:uid="{00000000-0005-0000-0000-0000621E0000}"/>
    <cellStyle name="SAPBEXexcBad9 9 2" xfId="7650" xr:uid="{00000000-0005-0000-0000-0000631E0000}"/>
    <cellStyle name="SAPBEXexcBad9 9 3" xfId="7651" xr:uid="{00000000-0005-0000-0000-0000641E0000}"/>
    <cellStyle name="SAPBEXexcBad9 9 4" xfId="7652" xr:uid="{00000000-0005-0000-0000-0000651E0000}"/>
    <cellStyle name="SAPBEXexcBad9 9 5" xfId="7653" xr:uid="{00000000-0005-0000-0000-0000661E0000}"/>
    <cellStyle name="SAPBEXexcBad9 9 6" xfId="7654" xr:uid="{00000000-0005-0000-0000-0000671E0000}"/>
    <cellStyle name="SAPBEXexcBad9_Receipts" xfId="7655" xr:uid="{00000000-0005-0000-0000-0000681E0000}"/>
    <cellStyle name="SAPBEXexcCritical4" xfId="7656" xr:uid="{00000000-0005-0000-0000-0000691E0000}"/>
    <cellStyle name="SAPBEXexcCritical4 10" xfId="7657" xr:uid="{00000000-0005-0000-0000-00006A1E0000}"/>
    <cellStyle name="SAPBEXexcCritical4 10 2" xfId="7658" xr:uid="{00000000-0005-0000-0000-00006B1E0000}"/>
    <cellStyle name="SAPBEXexcCritical4 10 3" xfId="7659" xr:uid="{00000000-0005-0000-0000-00006C1E0000}"/>
    <cellStyle name="SAPBEXexcCritical4 10 4" xfId="7660" xr:uid="{00000000-0005-0000-0000-00006D1E0000}"/>
    <cellStyle name="SAPBEXexcCritical4 10 5" xfId="7661" xr:uid="{00000000-0005-0000-0000-00006E1E0000}"/>
    <cellStyle name="SAPBEXexcCritical4 10 6" xfId="7662" xr:uid="{00000000-0005-0000-0000-00006F1E0000}"/>
    <cellStyle name="SAPBEXexcCritical4 11" xfId="7663" xr:uid="{00000000-0005-0000-0000-0000701E0000}"/>
    <cellStyle name="SAPBEXexcCritical4 11 2" xfId="7664" xr:uid="{00000000-0005-0000-0000-0000711E0000}"/>
    <cellStyle name="SAPBEXexcCritical4 11 3" xfId="7665" xr:uid="{00000000-0005-0000-0000-0000721E0000}"/>
    <cellStyle name="SAPBEXexcCritical4 11 4" xfId="7666" xr:uid="{00000000-0005-0000-0000-0000731E0000}"/>
    <cellStyle name="SAPBEXexcCritical4 11 5" xfId="7667" xr:uid="{00000000-0005-0000-0000-0000741E0000}"/>
    <cellStyle name="SAPBEXexcCritical4 11 6" xfId="7668" xr:uid="{00000000-0005-0000-0000-0000751E0000}"/>
    <cellStyle name="SAPBEXexcCritical4 12" xfId="7669" xr:uid="{00000000-0005-0000-0000-0000761E0000}"/>
    <cellStyle name="SAPBEXexcCritical4 12 2" xfId="7670" xr:uid="{00000000-0005-0000-0000-0000771E0000}"/>
    <cellStyle name="SAPBEXexcCritical4 12 3" xfId="7671" xr:uid="{00000000-0005-0000-0000-0000781E0000}"/>
    <cellStyle name="SAPBEXexcCritical4 12 4" xfId="7672" xr:uid="{00000000-0005-0000-0000-0000791E0000}"/>
    <cellStyle name="SAPBEXexcCritical4 12 5" xfId="7673" xr:uid="{00000000-0005-0000-0000-00007A1E0000}"/>
    <cellStyle name="SAPBEXexcCritical4 12 6" xfId="7674" xr:uid="{00000000-0005-0000-0000-00007B1E0000}"/>
    <cellStyle name="SAPBEXexcCritical4 13" xfId="7675" xr:uid="{00000000-0005-0000-0000-00007C1E0000}"/>
    <cellStyle name="SAPBEXexcCritical4 13 2" xfId="7676" xr:uid="{00000000-0005-0000-0000-00007D1E0000}"/>
    <cellStyle name="SAPBEXexcCritical4 13 3" xfId="7677" xr:uid="{00000000-0005-0000-0000-00007E1E0000}"/>
    <cellStyle name="SAPBEXexcCritical4 13 4" xfId="7678" xr:uid="{00000000-0005-0000-0000-00007F1E0000}"/>
    <cellStyle name="SAPBEXexcCritical4 13 5" xfId="7679" xr:uid="{00000000-0005-0000-0000-0000801E0000}"/>
    <cellStyle name="SAPBEXexcCritical4 13 6" xfId="7680" xr:uid="{00000000-0005-0000-0000-0000811E0000}"/>
    <cellStyle name="SAPBEXexcCritical4 14" xfId="7681" xr:uid="{00000000-0005-0000-0000-0000821E0000}"/>
    <cellStyle name="SAPBEXexcCritical4 14 2" xfId="7682" xr:uid="{00000000-0005-0000-0000-0000831E0000}"/>
    <cellStyle name="SAPBEXexcCritical4 14 3" xfId="7683" xr:uid="{00000000-0005-0000-0000-0000841E0000}"/>
    <cellStyle name="SAPBEXexcCritical4 14 4" xfId="7684" xr:uid="{00000000-0005-0000-0000-0000851E0000}"/>
    <cellStyle name="SAPBEXexcCritical4 14 5" xfId="7685" xr:uid="{00000000-0005-0000-0000-0000861E0000}"/>
    <cellStyle name="SAPBEXexcCritical4 14 6" xfId="7686" xr:uid="{00000000-0005-0000-0000-0000871E0000}"/>
    <cellStyle name="SAPBEXexcCritical4 15" xfId="7687" xr:uid="{00000000-0005-0000-0000-0000881E0000}"/>
    <cellStyle name="SAPBEXexcCritical4 15 2" xfId="7688" xr:uid="{00000000-0005-0000-0000-0000891E0000}"/>
    <cellStyle name="SAPBEXexcCritical4 15 3" xfId="7689" xr:uid="{00000000-0005-0000-0000-00008A1E0000}"/>
    <cellStyle name="SAPBEXexcCritical4 15 4" xfId="7690" xr:uid="{00000000-0005-0000-0000-00008B1E0000}"/>
    <cellStyle name="SAPBEXexcCritical4 15 5" xfId="7691" xr:uid="{00000000-0005-0000-0000-00008C1E0000}"/>
    <cellStyle name="SAPBEXexcCritical4 15 6" xfId="7692" xr:uid="{00000000-0005-0000-0000-00008D1E0000}"/>
    <cellStyle name="SAPBEXexcCritical4 16" xfId="7693" xr:uid="{00000000-0005-0000-0000-00008E1E0000}"/>
    <cellStyle name="SAPBEXexcCritical4 16 2" xfId="7694" xr:uid="{00000000-0005-0000-0000-00008F1E0000}"/>
    <cellStyle name="SAPBEXexcCritical4 16 3" xfId="7695" xr:uid="{00000000-0005-0000-0000-0000901E0000}"/>
    <cellStyle name="SAPBEXexcCritical4 16 4" xfId="7696" xr:uid="{00000000-0005-0000-0000-0000911E0000}"/>
    <cellStyle name="SAPBEXexcCritical4 16 5" xfId="7697" xr:uid="{00000000-0005-0000-0000-0000921E0000}"/>
    <cellStyle name="SAPBEXexcCritical4 16 6" xfId="7698" xr:uid="{00000000-0005-0000-0000-0000931E0000}"/>
    <cellStyle name="SAPBEXexcCritical4 17" xfId="7699" xr:uid="{00000000-0005-0000-0000-0000941E0000}"/>
    <cellStyle name="SAPBEXexcCritical4 17 2" xfId="7700" xr:uid="{00000000-0005-0000-0000-0000951E0000}"/>
    <cellStyle name="SAPBEXexcCritical4 17 3" xfId="7701" xr:uid="{00000000-0005-0000-0000-0000961E0000}"/>
    <cellStyle name="SAPBEXexcCritical4 17 4" xfId="7702" xr:uid="{00000000-0005-0000-0000-0000971E0000}"/>
    <cellStyle name="SAPBEXexcCritical4 17 5" xfId="7703" xr:uid="{00000000-0005-0000-0000-0000981E0000}"/>
    <cellStyle name="SAPBEXexcCritical4 17 6" xfId="7704" xr:uid="{00000000-0005-0000-0000-0000991E0000}"/>
    <cellStyle name="SAPBEXexcCritical4 18" xfId="7705" xr:uid="{00000000-0005-0000-0000-00009A1E0000}"/>
    <cellStyle name="SAPBEXexcCritical4 18 2" xfId="7706" xr:uid="{00000000-0005-0000-0000-00009B1E0000}"/>
    <cellStyle name="SAPBEXexcCritical4 18 3" xfId="7707" xr:uid="{00000000-0005-0000-0000-00009C1E0000}"/>
    <cellStyle name="SAPBEXexcCritical4 18 4" xfId="7708" xr:uid="{00000000-0005-0000-0000-00009D1E0000}"/>
    <cellStyle name="SAPBEXexcCritical4 18 5" xfId="7709" xr:uid="{00000000-0005-0000-0000-00009E1E0000}"/>
    <cellStyle name="SAPBEXexcCritical4 18 6" xfId="7710" xr:uid="{00000000-0005-0000-0000-00009F1E0000}"/>
    <cellStyle name="SAPBEXexcCritical4 19" xfId="7711" xr:uid="{00000000-0005-0000-0000-0000A01E0000}"/>
    <cellStyle name="SAPBEXexcCritical4 19 2" xfId="7712" xr:uid="{00000000-0005-0000-0000-0000A11E0000}"/>
    <cellStyle name="SAPBEXexcCritical4 19 3" xfId="7713" xr:uid="{00000000-0005-0000-0000-0000A21E0000}"/>
    <cellStyle name="SAPBEXexcCritical4 19 4" xfId="7714" xr:uid="{00000000-0005-0000-0000-0000A31E0000}"/>
    <cellStyle name="SAPBEXexcCritical4 19 5" xfId="7715" xr:uid="{00000000-0005-0000-0000-0000A41E0000}"/>
    <cellStyle name="SAPBEXexcCritical4 19 6" xfId="7716" xr:uid="{00000000-0005-0000-0000-0000A51E0000}"/>
    <cellStyle name="SAPBEXexcCritical4 2" xfId="7717" xr:uid="{00000000-0005-0000-0000-0000A61E0000}"/>
    <cellStyle name="SAPBEXexcCritical4 2 10" xfId="7718" xr:uid="{00000000-0005-0000-0000-0000A71E0000}"/>
    <cellStyle name="SAPBEXexcCritical4 2 10 2" xfId="7719" xr:uid="{00000000-0005-0000-0000-0000A81E0000}"/>
    <cellStyle name="SAPBEXexcCritical4 2 10 3" xfId="7720" xr:uid="{00000000-0005-0000-0000-0000A91E0000}"/>
    <cellStyle name="SAPBEXexcCritical4 2 10 4" xfId="7721" xr:uid="{00000000-0005-0000-0000-0000AA1E0000}"/>
    <cellStyle name="SAPBEXexcCritical4 2 11" xfId="7722" xr:uid="{00000000-0005-0000-0000-0000AB1E0000}"/>
    <cellStyle name="SAPBEXexcCritical4 2 11 2" xfId="7723" xr:uid="{00000000-0005-0000-0000-0000AC1E0000}"/>
    <cellStyle name="SAPBEXexcCritical4 2 11 3" xfId="7724" xr:uid="{00000000-0005-0000-0000-0000AD1E0000}"/>
    <cellStyle name="SAPBEXexcCritical4 2 11 4" xfId="7725" xr:uid="{00000000-0005-0000-0000-0000AE1E0000}"/>
    <cellStyle name="SAPBEXexcCritical4 2 12" xfId="7726" xr:uid="{00000000-0005-0000-0000-0000AF1E0000}"/>
    <cellStyle name="SAPBEXexcCritical4 2 12 2" xfId="7727" xr:uid="{00000000-0005-0000-0000-0000B01E0000}"/>
    <cellStyle name="SAPBEXexcCritical4 2 12 3" xfId="7728" xr:uid="{00000000-0005-0000-0000-0000B11E0000}"/>
    <cellStyle name="SAPBEXexcCritical4 2 12 4" xfId="7729" xr:uid="{00000000-0005-0000-0000-0000B21E0000}"/>
    <cellStyle name="SAPBEXexcCritical4 2 13" xfId="7730" xr:uid="{00000000-0005-0000-0000-0000B31E0000}"/>
    <cellStyle name="SAPBEXexcCritical4 2 13 2" xfId="7731" xr:uid="{00000000-0005-0000-0000-0000B41E0000}"/>
    <cellStyle name="SAPBEXexcCritical4 2 13 3" xfId="7732" xr:uid="{00000000-0005-0000-0000-0000B51E0000}"/>
    <cellStyle name="SAPBEXexcCritical4 2 13 4" xfId="7733" xr:uid="{00000000-0005-0000-0000-0000B61E0000}"/>
    <cellStyle name="SAPBEXexcCritical4 2 14" xfId="7734" xr:uid="{00000000-0005-0000-0000-0000B71E0000}"/>
    <cellStyle name="SAPBEXexcCritical4 2 15" xfId="7735" xr:uid="{00000000-0005-0000-0000-0000B81E0000}"/>
    <cellStyle name="SAPBEXexcCritical4 2 16" xfId="7736" xr:uid="{00000000-0005-0000-0000-0000B91E0000}"/>
    <cellStyle name="SAPBEXexcCritical4 2 17" xfId="7737" xr:uid="{00000000-0005-0000-0000-0000BA1E0000}"/>
    <cellStyle name="SAPBEXexcCritical4 2 18" xfId="7738" xr:uid="{00000000-0005-0000-0000-0000BB1E0000}"/>
    <cellStyle name="SAPBEXexcCritical4 2 2" xfId="7739" xr:uid="{00000000-0005-0000-0000-0000BC1E0000}"/>
    <cellStyle name="SAPBEXexcCritical4 2 2 2" xfId="7740" xr:uid="{00000000-0005-0000-0000-0000BD1E0000}"/>
    <cellStyle name="SAPBEXexcCritical4 2 2 2 2" xfId="7741" xr:uid="{00000000-0005-0000-0000-0000BE1E0000}"/>
    <cellStyle name="SAPBEXexcCritical4 2 2 2 3" xfId="7742" xr:uid="{00000000-0005-0000-0000-0000BF1E0000}"/>
    <cellStyle name="SAPBEXexcCritical4 2 2 2 4" xfId="7743" xr:uid="{00000000-0005-0000-0000-0000C01E0000}"/>
    <cellStyle name="SAPBEXexcCritical4 2 2 2 5" xfId="7744" xr:uid="{00000000-0005-0000-0000-0000C11E0000}"/>
    <cellStyle name="SAPBEXexcCritical4 2 2 2 6" xfId="7745" xr:uid="{00000000-0005-0000-0000-0000C21E0000}"/>
    <cellStyle name="SAPBEXexcCritical4 2 2 3" xfId="7746" xr:uid="{00000000-0005-0000-0000-0000C31E0000}"/>
    <cellStyle name="SAPBEXexcCritical4 2 2 3 2" xfId="7747" xr:uid="{00000000-0005-0000-0000-0000C41E0000}"/>
    <cellStyle name="SAPBEXexcCritical4 2 2 3 3" xfId="7748" xr:uid="{00000000-0005-0000-0000-0000C51E0000}"/>
    <cellStyle name="SAPBEXexcCritical4 2 2 3 4" xfId="7749" xr:uid="{00000000-0005-0000-0000-0000C61E0000}"/>
    <cellStyle name="SAPBEXexcCritical4 2 2 3 5" xfId="7750" xr:uid="{00000000-0005-0000-0000-0000C71E0000}"/>
    <cellStyle name="SAPBEXexcCritical4 2 2 3 6" xfId="7751" xr:uid="{00000000-0005-0000-0000-0000C81E0000}"/>
    <cellStyle name="SAPBEXexcCritical4 2 2 4" xfId="7752" xr:uid="{00000000-0005-0000-0000-0000C91E0000}"/>
    <cellStyle name="SAPBEXexcCritical4 2 2 4 2" xfId="7753" xr:uid="{00000000-0005-0000-0000-0000CA1E0000}"/>
    <cellStyle name="SAPBEXexcCritical4 2 2 4 3" xfId="7754" xr:uid="{00000000-0005-0000-0000-0000CB1E0000}"/>
    <cellStyle name="SAPBEXexcCritical4 2 2 4 4" xfId="7755" xr:uid="{00000000-0005-0000-0000-0000CC1E0000}"/>
    <cellStyle name="SAPBEXexcCritical4 2 2 4 5" xfId="7756" xr:uid="{00000000-0005-0000-0000-0000CD1E0000}"/>
    <cellStyle name="SAPBEXexcCritical4 2 2 4 6" xfId="7757" xr:uid="{00000000-0005-0000-0000-0000CE1E0000}"/>
    <cellStyle name="SAPBEXexcCritical4 2 2 5" xfId="7758" xr:uid="{00000000-0005-0000-0000-0000CF1E0000}"/>
    <cellStyle name="SAPBEXexcCritical4 2 2 5 2" xfId="7759" xr:uid="{00000000-0005-0000-0000-0000D01E0000}"/>
    <cellStyle name="SAPBEXexcCritical4 2 2 5 3" xfId="7760" xr:uid="{00000000-0005-0000-0000-0000D11E0000}"/>
    <cellStyle name="SAPBEXexcCritical4 2 2 5 4" xfId="7761" xr:uid="{00000000-0005-0000-0000-0000D21E0000}"/>
    <cellStyle name="SAPBEXexcCritical4 2 2 5 5" xfId="7762" xr:uid="{00000000-0005-0000-0000-0000D31E0000}"/>
    <cellStyle name="SAPBEXexcCritical4 2 2 5 6" xfId="7763" xr:uid="{00000000-0005-0000-0000-0000D41E0000}"/>
    <cellStyle name="SAPBEXexcCritical4 2 2 6" xfId="7764" xr:uid="{00000000-0005-0000-0000-0000D51E0000}"/>
    <cellStyle name="SAPBEXexcCritical4 2 2 7" xfId="7765" xr:uid="{00000000-0005-0000-0000-0000D61E0000}"/>
    <cellStyle name="SAPBEXexcCritical4 2 2 8" xfId="7766" xr:uid="{00000000-0005-0000-0000-0000D71E0000}"/>
    <cellStyle name="SAPBEXexcCritical4 2 3" xfId="7767" xr:uid="{00000000-0005-0000-0000-0000D81E0000}"/>
    <cellStyle name="SAPBEXexcCritical4 2 3 2" xfId="7768" xr:uid="{00000000-0005-0000-0000-0000D91E0000}"/>
    <cellStyle name="SAPBEXexcCritical4 2 3 2 2" xfId="7769" xr:uid="{00000000-0005-0000-0000-0000DA1E0000}"/>
    <cellStyle name="SAPBEXexcCritical4 2 3 2 3" xfId="7770" xr:uid="{00000000-0005-0000-0000-0000DB1E0000}"/>
    <cellStyle name="SAPBEXexcCritical4 2 3 2 4" xfId="7771" xr:uid="{00000000-0005-0000-0000-0000DC1E0000}"/>
    <cellStyle name="SAPBEXexcCritical4 2 3 2 5" xfId="7772" xr:uid="{00000000-0005-0000-0000-0000DD1E0000}"/>
    <cellStyle name="SAPBEXexcCritical4 2 3 2 6" xfId="7773" xr:uid="{00000000-0005-0000-0000-0000DE1E0000}"/>
    <cellStyle name="SAPBEXexcCritical4 2 3 3" xfId="7774" xr:uid="{00000000-0005-0000-0000-0000DF1E0000}"/>
    <cellStyle name="SAPBEXexcCritical4 2 3 3 2" xfId="7775" xr:uid="{00000000-0005-0000-0000-0000E01E0000}"/>
    <cellStyle name="SAPBEXexcCritical4 2 3 3 3" xfId="7776" xr:uid="{00000000-0005-0000-0000-0000E11E0000}"/>
    <cellStyle name="SAPBEXexcCritical4 2 3 3 4" xfId="7777" xr:uid="{00000000-0005-0000-0000-0000E21E0000}"/>
    <cellStyle name="SAPBEXexcCritical4 2 3 3 5" xfId="7778" xr:uid="{00000000-0005-0000-0000-0000E31E0000}"/>
    <cellStyle name="SAPBEXexcCritical4 2 3 3 6" xfId="7779" xr:uid="{00000000-0005-0000-0000-0000E41E0000}"/>
    <cellStyle name="SAPBEXexcCritical4 2 3 4" xfId="7780" xr:uid="{00000000-0005-0000-0000-0000E51E0000}"/>
    <cellStyle name="SAPBEXexcCritical4 2 3 4 2" xfId="7781" xr:uid="{00000000-0005-0000-0000-0000E61E0000}"/>
    <cellStyle name="SAPBEXexcCritical4 2 3 4 3" xfId="7782" xr:uid="{00000000-0005-0000-0000-0000E71E0000}"/>
    <cellStyle name="SAPBEXexcCritical4 2 3 4 4" xfId="7783" xr:uid="{00000000-0005-0000-0000-0000E81E0000}"/>
    <cellStyle name="SAPBEXexcCritical4 2 3 4 5" xfId="7784" xr:uid="{00000000-0005-0000-0000-0000E91E0000}"/>
    <cellStyle name="SAPBEXexcCritical4 2 3 4 6" xfId="7785" xr:uid="{00000000-0005-0000-0000-0000EA1E0000}"/>
    <cellStyle name="SAPBEXexcCritical4 2 3 5" xfId="7786" xr:uid="{00000000-0005-0000-0000-0000EB1E0000}"/>
    <cellStyle name="SAPBEXexcCritical4 2 3 5 2" xfId="7787" xr:uid="{00000000-0005-0000-0000-0000EC1E0000}"/>
    <cellStyle name="SAPBEXexcCritical4 2 3 5 3" xfId="7788" xr:uid="{00000000-0005-0000-0000-0000ED1E0000}"/>
    <cellStyle name="SAPBEXexcCritical4 2 3 5 4" xfId="7789" xr:uid="{00000000-0005-0000-0000-0000EE1E0000}"/>
    <cellStyle name="SAPBEXexcCritical4 2 3 5 5" xfId="7790" xr:uid="{00000000-0005-0000-0000-0000EF1E0000}"/>
    <cellStyle name="SAPBEXexcCritical4 2 3 5 6" xfId="7791" xr:uid="{00000000-0005-0000-0000-0000F01E0000}"/>
    <cellStyle name="SAPBEXexcCritical4 2 3 6" xfId="7792" xr:uid="{00000000-0005-0000-0000-0000F11E0000}"/>
    <cellStyle name="SAPBEXexcCritical4 2 3 7" xfId="7793" xr:uid="{00000000-0005-0000-0000-0000F21E0000}"/>
    <cellStyle name="SAPBEXexcCritical4 2 3 8" xfId="7794" xr:uid="{00000000-0005-0000-0000-0000F31E0000}"/>
    <cellStyle name="SAPBEXexcCritical4 2 4" xfId="7795" xr:uid="{00000000-0005-0000-0000-0000F41E0000}"/>
    <cellStyle name="SAPBEXexcCritical4 2 4 2" xfId="7796" xr:uid="{00000000-0005-0000-0000-0000F51E0000}"/>
    <cellStyle name="SAPBEXexcCritical4 2 4 2 2" xfId="7797" xr:uid="{00000000-0005-0000-0000-0000F61E0000}"/>
    <cellStyle name="SAPBEXexcCritical4 2 4 2 3" xfId="7798" xr:uid="{00000000-0005-0000-0000-0000F71E0000}"/>
    <cellStyle name="SAPBEXexcCritical4 2 4 2 4" xfId="7799" xr:uid="{00000000-0005-0000-0000-0000F81E0000}"/>
    <cellStyle name="SAPBEXexcCritical4 2 4 2 5" xfId="7800" xr:uid="{00000000-0005-0000-0000-0000F91E0000}"/>
    <cellStyle name="SAPBEXexcCritical4 2 4 2 6" xfId="7801" xr:uid="{00000000-0005-0000-0000-0000FA1E0000}"/>
    <cellStyle name="SAPBEXexcCritical4 2 4 3" xfId="7802" xr:uid="{00000000-0005-0000-0000-0000FB1E0000}"/>
    <cellStyle name="SAPBEXexcCritical4 2 4 3 2" xfId="7803" xr:uid="{00000000-0005-0000-0000-0000FC1E0000}"/>
    <cellStyle name="SAPBEXexcCritical4 2 4 3 3" xfId="7804" xr:uid="{00000000-0005-0000-0000-0000FD1E0000}"/>
    <cellStyle name="SAPBEXexcCritical4 2 4 3 4" xfId="7805" xr:uid="{00000000-0005-0000-0000-0000FE1E0000}"/>
    <cellStyle name="SAPBEXexcCritical4 2 4 3 5" xfId="7806" xr:uid="{00000000-0005-0000-0000-0000FF1E0000}"/>
    <cellStyle name="SAPBEXexcCritical4 2 4 3 6" xfId="7807" xr:uid="{00000000-0005-0000-0000-0000001F0000}"/>
    <cellStyle name="SAPBEXexcCritical4 2 4 4" xfId="7808" xr:uid="{00000000-0005-0000-0000-0000011F0000}"/>
    <cellStyle name="SAPBEXexcCritical4 2 4 4 2" xfId="7809" xr:uid="{00000000-0005-0000-0000-0000021F0000}"/>
    <cellStyle name="SAPBEXexcCritical4 2 4 4 3" xfId="7810" xr:uid="{00000000-0005-0000-0000-0000031F0000}"/>
    <cellStyle name="SAPBEXexcCritical4 2 4 4 4" xfId="7811" xr:uid="{00000000-0005-0000-0000-0000041F0000}"/>
    <cellStyle name="SAPBEXexcCritical4 2 4 4 5" xfId="7812" xr:uid="{00000000-0005-0000-0000-0000051F0000}"/>
    <cellStyle name="SAPBEXexcCritical4 2 4 4 6" xfId="7813" xr:uid="{00000000-0005-0000-0000-0000061F0000}"/>
    <cellStyle name="SAPBEXexcCritical4 2 4 5" xfId="7814" xr:uid="{00000000-0005-0000-0000-0000071F0000}"/>
    <cellStyle name="SAPBEXexcCritical4 2 4 5 2" xfId="7815" xr:uid="{00000000-0005-0000-0000-0000081F0000}"/>
    <cellStyle name="SAPBEXexcCritical4 2 4 5 3" xfId="7816" xr:uid="{00000000-0005-0000-0000-0000091F0000}"/>
    <cellStyle name="SAPBEXexcCritical4 2 4 5 4" xfId="7817" xr:uid="{00000000-0005-0000-0000-00000A1F0000}"/>
    <cellStyle name="SAPBEXexcCritical4 2 4 5 5" xfId="7818" xr:uid="{00000000-0005-0000-0000-00000B1F0000}"/>
    <cellStyle name="SAPBEXexcCritical4 2 4 5 6" xfId="7819" xr:uid="{00000000-0005-0000-0000-00000C1F0000}"/>
    <cellStyle name="SAPBEXexcCritical4 2 4 6" xfId="7820" xr:uid="{00000000-0005-0000-0000-00000D1F0000}"/>
    <cellStyle name="SAPBEXexcCritical4 2 4 7" xfId="7821" xr:uid="{00000000-0005-0000-0000-00000E1F0000}"/>
    <cellStyle name="SAPBEXexcCritical4 2 4 8" xfId="7822" xr:uid="{00000000-0005-0000-0000-00000F1F0000}"/>
    <cellStyle name="SAPBEXexcCritical4 2 5" xfId="7823" xr:uid="{00000000-0005-0000-0000-0000101F0000}"/>
    <cellStyle name="SAPBEXexcCritical4 2 5 2" xfId="7824" xr:uid="{00000000-0005-0000-0000-0000111F0000}"/>
    <cellStyle name="SAPBEXexcCritical4 2 5 3" xfId="7825" xr:uid="{00000000-0005-0000-0000-0000121F0000}"/>
    <cellStyle name="SAPBEXexcCritical4 2 5 4" xfId="7826" xr:uid="{00000000-0005-0000-0000-0000131F0000}"/>
    <cellStyle name="SAPBEXexcCritical4 2 6" xfId="7827" xr:uid="{00000000-0005-0000-0000-0000141F0000}"/>
    <cellStyle name="SAPBEXexcCritical4 2 6 2" xfId="7828" xr:uid="{00000000-0005-0000-0000-0000151F0000}"/>
    <cellStyle name="SAPBEXexcCritical4 2 6 3" xfId="7829" xr:uid="{00000000-0005-0000-0000-0000161F0000}"/>
    <cellStyle name="SAPBEXexcCritical4 2 6 4" xfId="7830" xr:uid="{00000000-0005-0000-0000-0000171F0000}"/>
    <cellStyle name="SAPBEXexcCritical4 2 7" xfId="7831" xr:uid="{00000000-0005-0000-0000-0000181F0000}"/>
    <cellStyle name="SAPBEXexcCritical4 2 7 2" xfId="7832" xr:uid="{00000000-0005-0000-0000-0000191F0000}"/>
    <cellStyle name="SAPBEXexcCritical4 2 7 3" xfId="7833" xr:uid="{00000000-0005-0000-0000-00001A1F0000}"/>
    <cellStyle name="SAPBEXexcCritical4 2 7 4" xfId="7834" xr:uid="{00000000-0005-0000-0000-00001B1F0000}"/>
    <cellStyle name="SAPBEXexcCritical4 2 8" xfId="7835" xr:uid="{00000000-0005-0000-0000-00001C1F0000}"/>
    <cellStyle name="SAPBEXexcCritical4 2 8 2" xfId="7836" xr:uid="{00000000-0005-0000-0000-00001D1F0000}"/>
    <cellStyle name="SAPBEXexcCritical4 2 8 3" xfId="7837" xr:uid="{00000000-0005-0000-0000-00001E1F0000}"/>
    <cellStyle name="SAPBEXexcCritical4 2 8 4" xfId="7838" xr:uid="{00000000-0005-0000-0000-00001F1F0000}"/>
    <cellStyle name="SAPBEXexcCritical4 2 9" xfId="7839" xr:uid="{00000000-0005-0000-0000-0000201F0000}"/>
    <cellStyle name="SAPBEXexcCritical4 2 9 2" xfId="7840" xr:uid="{00000000-0005-0000-0000-0000211F0000}"/>
    <cellStyle name="SAPBEXexcCritical4 2 9 3" xfId="7841" xr:uid="{00000000-0005-0000-0000-0000221F0000}"/>
    <cellStyle name="SAPBEXexcCritical4 2 9 4" xfId="7842" xr:uid="{00000000-0005-0000-0000-0000231F0000}"/>
    <cellStyle name="SAPBEXexcCritical4 20" xfId="7843" xr:uid="{00000000-0005-0000-0000-0000241F0000}"/>
    <cellStyle name="SAPBEXexcCritical4 20 2" xfId="7844" xr:uid="{00000000-0005-0000-0000-0000251F0000}"/>
    <cellStyle name="SAPBEXexcCritical4 20 3" xfId="7845" xr:uid="{00000000-0005-0000-0000-0000261F0000}"/>
    <cellStyle name="SAPBEXexcCritical4 20 4" xfId="7846" xr:uid="{00000000-0005-0000-0000-0000271F0000}"/>
    <cellStyle name="SAPBEXexcCritical4 20 5" xfId="7847" xr:uid="{00000000-0005-0000-0000-0000281F0000}"/>
    <cellStyle name="SAPBEXexcCritical4 20 6" xfId="7848" xr:uid="{00000000-0005-0000-0000-0000291F0000}"/>
    <cellStyle name="SAPBEXexcCritical4 21" xfId="7849" xr:uid="{00000000-0005-0000-0000-00002A1F0000}"/>
    <cellStyle name="SAPBEXexcCritical4 21 2" xfId="7850" xr:uid="{00000000-0005-0000-0000-00002B1F0000}"/>
    <cellStyle name="SAPBEXexcCritical4 21 3" xfId="7851" xr:uid="{00000000-0005-0000-0000-00002C1F0000}"/>
    <cellStyle name="SAPBEXexcCritical4 21 4" xfId="7852" xr:uid="{00000000-0005-0000-0000-00002D1F0000}"/>
    <cellStyle name="SAPBEXexcCritical4 21 5" xfId="7853" xr:uid="{00000000-0005-0000-0000-00002E1F0000}"/>
    <cellStyle name="SAPBEXexcCritical4 21 6" xfId="7854" xr:uid="{00000000-0005-0000-0000-00002F1F0000}"/>
    <cellStyle name="SAPBEXexcCritical4 22" xfId="7855" xr:uid="{00000000-0005-0000-0000-0000301F0000}"/>
    <cellStyle name="SAPBEXexcCritical4 22 2" xfId="7856" xr:uid="{00000000-0005-0000-0000-0000311F0000}"/>
    <cellStyle name="SAPBEXexcCritical4 22 3" xfId="7857" xr:uid="{00000000-0005-0000-0000-0000321F0000}"/>
    <cellStyle name="SAPBEXexcCritical4 22 4" xfId="7858" xr:uid="{00000000-0005-0000-0000-0000331F0000}"/>
    <cellStyle name="SAPBEXexcCritical4 22 5" xfId="7859" xr:uid="{00000000-0005-0000-0000-0000341F0000}"/>
    <cellStyle name="SAPBEXexcCritical4 22 6" xfId="7860" xr:uid="{00000000-0005-0000-0000-0000351F0000}"/>
    <cellStyle name="SAPBEXexcCritical4 23" xfId="7861" xr:uid="{00000000-0005-0000-0000-0000361F0000}"/>
    <cellStyle name="SAPBEXexcCritical4 23 2" xfId="7862" xr:uid="{00000000-0005-0000-0000-0000371F0000}"/>
    <cellStyle name="SAPBEXexcCritical4 23 3" xfId="7863" xr:uid="{00000000-0005-0000-0000-0000381F0000}"/>
    <cellStyle name="SAPBEXexcCritical4 23 4" xfId="7864" xr:uid="{00000000-0005-0000-0000-0000391F0000}"/>
    <cellStyle name="SAPBEXexcCritical4 23 5" xfId="7865" xr:uid="{00000000-0005-0000-0000-00003A1F0000}"/>
    <cellStyle name="SAPBEXexcCritical4 23 6" xfId="7866" xr:uid="{00000000-0005-0000-0000-00003B1F0000}"/>
    <cellStyle name="SAPBEXexcCritical4 24" xfId="7867" xr:uid="{00000000-0005-0000-0000-00003C1F0000}"/>
    <cellStyle name="SAPBEXexcCritical4 24 2" xfId="7868" xr:uid="{00000000-0005-0000-0000-00003D1F0000}"/>
    <cellStyle name="SAPBEXexcCritical4 24 3" xfId="7869" xr:uid="{00000000-0005-0000-0000-00003E1F0000}"/>
    <cellStyle name="SAPBEXexcCritical4 24 4" xfId="7870" xr:uid="{00000000-0005-0000-0000-00003F1F0000}"/>
    <cellStyle name="SAPBEXexcCritical4 24 5" xfId="7871" xr:uid="{00000000-0005-0000-0000-0000401F0000}"/>
    <cellStyle name="SAPBEXexcCritical4 24 6" xfId="7872" xr:uid="{00000000-0005-0000-0000-0000411F0000}"/>
    <cellStyle name="SAPBEXexcCritical4 25" xfId="7873" xr:uid="{00000000-0005-0000-0000-0000421F0000}"/>
    <cellStyle name="SAPBEXexcCritical4 25 2" xfId="7874" xr:uid="{00000000-0005-0000-0000-0000431F0000}"/>
    <cellStyle name="SAPBEXexcCritical4 25 3" xfId="7875" xr:uid="{00000000-0005-0000-0000-0000441F0000}"/>
    <cellStyle name="SAPBEXexcCritical4 25 4" xfId="7876" xr:uid="{00000000-0005-0000-0000-0000451F0000}"/>
    <cellStyle name="SAPBEXexcCritical4 25 5" xfId="7877" xr:uid="{00000000-0005-0000-0000-0000461F0000}"/>
    <cellStyle name="SAPBEXexcCritical4 25 6" xfId="7878" xr:uid="{00000000-0005-0000-0000-0000471F0000}"/>
    <cellStyle name="SAPBEXexcCritical4 26" xfId="7879" xr:uid="{00000000-0005-0000-0000-0000481F0000}"/>
    <cellStyle name="SAPBEXexcCritical4 26 2" xfId="7880" xr:uid="{00000000-0005-0000-0000-0000491F0000}"/>
    <cellStyle name="SAPBEXexcCritical4 26 3" xfId="7881" xr:uid="{00000000-0005-0000-0000-00004A1F0000}"/>
    <cellStyle name="SAPBEXexcCritical4 26 4" xfId="7882" xr:uid="{00000000-0005-0000-0000-00004B1F0000}"/>
    <cellStyle name="SAPBEXexcCritical4 26 5" xfId="7883" xr:uid="{00000000-0005-0000-0000-00004C1F0000}"/>
    <cellStyle name="SAPBEXexcCritical4 26 6" xfId="7884" xr:uid="{00000000-0005-0000-0000-00004D1F0000}"/>
    <cellStyle name="SAPBEXexcCritical4 27" xfId="7885" xr:uid="{00000000-0005-0000-0000-00004E1F0000}"/>
    <cellStyle name="SAPBEXexcCritical4 27 2" xfId="7886" xr:uid="{00000000-0005-0000-0000-00004F1F0000}"/>
    <cellStyle name="SAPBEXexcCritical4 27 3" xfId="7887" xr:uid="{00000000-0005-0000-0000-0000501F0000}"/>
    <cellStyle name="SAPBEXexcCritical4 27 4" xfId="7888" xr:uid="{00000000-0005-0000-0000-0000511F0000}"/>
    <cellStyle name="SAPBEXexcCritical4 27 5" xfId="7889" xr:uid="{00000000-0005-0000-0000-0000521F0000}"/>
    <cellStyle name="SAPBEXexcCritical4 27 6" xfId="7890" xr:uid="{00000000-0005-0000-0000-0000531F0000}"/>
    <cellStyle name="SAPBEXexcCritical4 28" xfId="7891" xr:uid="{00000000-0005-0000-0000-0000541F0000}"/>
    <cellStyle name="SAPBEXexcCritical4 28 2" xfId="7892" xr:uid="{00000000-0005-0000-0000-0000551F0000}"/>
    <cellStyle name="SAPBEXexcCritical4 28 3" xfId="7893" xr:uid="{00000000-0005-0000-0000-0000561F0000}"/>
    <cellStyle name="SAPBEXexcCritical4 28 4" xfId="7894" xr:uid="{00000000-0005-0000-0000-0000571F0000}"/>
    <cellStyle name="SAPBEXexcCritical4 28 5" xfId="7895" xr:uid="{00000000-0005-0000-0000-0000581F0000}"/>
    <cellStyle name="SAPBEXexcCritical4 28 6" xfId="7896" xr:uid="{00000000-0005-0000-0000-0000591F0000}"/>
    <cellStyle name="SAPBEXexcCritical4 29" xfId="7897" xr:uid="{00000000-0005-0000-0000-00005A1F0000}"/>
    <cellStyle name="SAPBEXexcCritical4 29 2" xfId="7898" xr:uid="{00000000-0005-0000-0000-00005B1F0000}"/>
    <cellStyle name="SAPBEXexcCritical4 29 3" xfId="7899" xr:uid="{00000000-0005-0000-0000-00005C1F0000}"/>
    <cellStyle name="SAPBEXexcCritical4 29 4" xfId="7900" xr:uid="{00000000-0005-0000-0000-00005D1F0000}"/>
    <cellStyle name="SAPBEXexcCritical4 29 5" xfId="7901" xr:uid="{00000000-0005-0000-0000-00005E1F0000}"/>
    <cellStyle name="SAPBEXexcCritical4 29 6" xfId="7902" xr:uid="{00000000-0005-0000-0000-00005F1F0000}"/>
    <cellStyle name="SAPBEXexcCritical4 3" xfId="7903" xr:uid="{00000000-0005-0000-0000-0000601F0000}"/>
    <cellStyle name="SAPBEXexcCritical4 3 10" xfId="7904" xr:uid="{00000000-0005-0000-0000-0000611F0000}"/>
    <cellStyle name="SAPBEXexcCritical4 3 11" xfId="7905" xr:uid="{00000000-0005-0000-0000-0000621F0000}"/>
    <cellStyle name="SAPBEXexcCritical4 3 12" xfId="7906" xr:uid="{00000000-0005-0000-0000-0000631F0000}"/>
    <cellStyle name="SAPBEXexcCritical4 3 2" xfId="7907" xr:uid="{00000000-0005-0000-0000-0000641F0000}"/>
    <cellStyle name="SAPBEXexcCritical4 3 2 2" xfId="7908" xr:uid="{00000000-0005-0000-0000-0000651F0000}"/>
    <cellStyle name="SAPBEXexcCritical4 3 2 2 2" xfId="7909" xr:uid="{00000000-0005-0000-0000-0000661F0000}"/>
    <cellStyle name="SAPBEXexcCritical4 3 2 2 3" xfId="7910" xr:uid="{00000000-0005-0000-0000-0000671F0000}"/>
    <cellStyle name="SAPBEXexcCritical4 3 2 2 4" xfId="7911" xr:uid="{00000000-0005-0000-0000-0000681F0000}"/>
    <cellStyle name="SAPBEXexcCritical4 3 2 2 5" xfId="7912" xr:uid="{00000000-0005-0000-0000-0000691F0000}"/>
    <cellStyle name="SAPBEXexcCritical4 3 2 2 6" xfId="7913" xr:uid="{00000000-0005-0000-0000-00006A1F0000}"/>
    <cellStyle name="SAPBEXexcCritical4 3 2 3" xfId="7914" xr:uid="{00000000-0005-0000-0000-00006B1F0000}"/>
    <cellStyle name="SAPBEXexcCritical4 3 2 3 2" xfId="7915" xr:uid="{00000000-0005-0000-0000-00006C1F0000}"/>
    <cellStyle name="SAPBEXexcCritical4 3 2 3 3" xfId="7916" xr:uid="{00000000-0005-0000-0000-00006D1F0000}"/>
    <cellStyle name="SAPBEXexcCritical4 3 2 3 4" xfId="7917" xr:uid="{00000000-0005-0000-0000-00006E1F0000}"/>
    <cellStyle name="SAPBEXexcCritical4 3 2 3 5" xfId="7918" xr:uid="{00000000-0005-0000-0000-00006F1F0000}"/>
    <cellStyle name="SAPBEXexcCritical4 3 2 3 6" xfId="7919" xr:uid="{00000000-0005-0000-0000-0000701F0000}"/>
    <cellStyle name="SAPBEXexcCritical4 3 2 4" xfId="7920" xr:uid="{00000000-0005-0000-0000-0000711F0000}"/>
    <cellStyle name="SAPBEXexcCritical4 3 2 4 2" xfId="7921" xr:uid="{00000000-0005-0000-0000-0000721F0000}"/>
    <cellStyle name="SAPBEXexcCritical4 3 2 4 3" xfId="7922" xr:uid="{00000000-0005-0000-0000-0000731F0000}"/>
    <cellStyle name="SAPBEXexcCritical4 3 2 4 4" xfId="7923" xr:uid="{00000000-0005-0000-0000-0000741F0000}"/>
    <cellStyle name="SAPBEXexcCritical4 3 2 4 5" xfId="7924" xr:uid="{00000000-0005-0000-0000-0000751F0000}"/>
    <cellStyle name="SAPBEXexcCritical4 3 2 4 6" xfId="7925" xr:uid="{00000000-0005-0000-0000-0000761F0000}"/>
    <cellStyle name="SAPBEXexcCritical4 3 2 5" xfId="7926" xr:uid="{00000000-0005-0000-0000-0000771F0000}"/>
    <cellStyle name="SAPBEXexcCritical4 3 2 5 2" xfId="7927" xr:uid="{00000000-0005-0000-0000-0000781F0000}"/>
    <cellStyle name="SAPBEXexcCritical4 3 2 5 3" xfId="7928" xr:uid="{00000000-0005-0000-0000-0000791F0000}"/>
    <cellStyle name="SAPBEXexcCritical4 3 2 5 4" xfId="7929" xr:uid="{00000000-0005-0000-0000-00007A1F0000}"/>
    <cellStyle name="SAPBEXexcCritical4 3 2 5 5" xfId="7930" xr:uid="{00000000-0005-0000-0000-00007B1F0000}"/>
    <cellStyle name="SAPBEXexcCritical4 3 2 5 6" xfId="7931" xr:uid="{00000000-0005-0000-0000-00007C1F0000}"/>
    <cellStyle name="SAPBEXexcCritical4 3 2 6" xfId="7932" xr:uid="{00000000-0005-0000-0000-00007D1F0000}"/>
    <cellStyle name="SAPBEXexcCritical4 3 2 7" xfId="7933" xr:uid="{00000000-0005-0000-0000-00007E1F0000}"/>
    <cellStyle name="SAPBEXexcCritical4 3 2 8" xfId="7934" xr:uid="{00000000-0005-0000-0000-00007F1F0000}"/>
    <cellStyle name="SAPBEXexcCritical4 3 3" xfId="7935" xr:uid="{00000000-0005-0000-0000-0000801F0000}"/>
    <cellStyle name="SAPBEXexcCritical4 3 3 2" xfId="7936" xr:uid="{00000000-0005-0000-0000-0000811F0000}"/>
    <cellStyle name="SAPBEXexcCritical4 3 3 3" xfId="7937" xr:uid="{00000000-0005-0000-0000-0000821F0000}"/>
    <cellStyle name="SAPBEXexcCritical4 3 3 4" xfId="7938" xr:uid="{00000000-0005-0000-0000-0000831F0000}"/>
    <cellStyle name="SAPBEXexcCritical4 3 3 5" xfId="7939" xr:uid="{00000000-0005-0000-0000-0000841F0000}"/>
    <cellStyle name="SAPBEXexcCritical4 3 3 6" xfId="7940" xr:uid="{00000000-0005-0000-0000-0000851F0000}"/>
    <cellStyle name="SAPBEXexcCritical4 3 4" xfId="7941" xr:uid="{00000000-0005-0000-0000-0000861F0000}"/>
    <cellStyle name="SAPBEXexcCritical4 3 4 2" xfId="7942" xr:uid="{00000000-0005-0000-0000-0000871F0000}"/>
    <cellStyle name="SAPBEXexcCritical4 3 4 3" xfId="7943" xr:uid="{00000000-0005-0000-0000-0000881F0000}"/>
    <cellStyle name="SAPBEXexcCritical4 3 4 4" xfId="7944" xr:uid="{00000000-0005-0000-0000-0000891F0000}"/>
    <cellStyle name="SAPBEXexcCritical4 3 4 5" xfId="7945" xr:uid="{00000000-0005-0000-0000-00008A1F0000}"/>
    <cellStyle name="SAPBEXexcCritical4 3 4 6" xfId="7946" xr:uid="{00000000-0005-0000-0000-00008B1F0000}"/>
    <cellStyle name="SAPBEXexcCritical4 3 5" xfId="7947" xr:uid="{00000000-0005-0000-0000-00008C1F0000}"/>
    <cellStyle name="SAPBEXexcCritical4 3 5 2" xfId="7948" xr:uid="{00000000-0005-0000-0000-00008D1F0000}"/>
    <cellStyle name="SAPBEXexcCritical4 3 5 3" xfId="7949" xr:uid="{00000000-0005-0000-0000-00008E1F0000}"/>
    <cellStyle name="SAPBEXexcCritical4 3 5 4" xfId="7950" xr:uid="{00000000-0005-0000-0000-00008F1F0000}"/>
    <cellStyle name="SAPBEXexcCritical4 3 6" xfId="7951" xr:uid="{00000000-0005-0000-0000-0000901F0000}"/>
    <cellStyle name="SAPBEXexcCritical4 3 6 2" xfId="7952" xr:uid="{00000000-0005-0000-0000-0000911F0000}"/>
    <cellStyle name="SAPBEXexcCritical4 3 6 3" xfId="7953" xr:uid="{00000000-0005-0000-0000-0000921F0000}"/>
    <cellStyle name="SAPBEXexcCritical4 3 6 4" xfId="7954" xr:uid="{00000000-0005-0000-0000-0000931F0000}"/>
    <cellStyle name="SAPBEXexcCritical4 3 7" xfId="7955" xr:uid="{00000000-0005-0000-0000-0000941F0000}"/>
    <cellStyle name="SAPBEXexcCritical4 3 7 2" xfId="7956" xr:uid="{00000000-0005-0000-0000-0000951F0000}"/>
    <cellStyle name="SAPBEXexcCritical4 3 7 3" xfId="7957" xr:uid="{00000000-0005-0000-0000-0000961F0000}"/>
    <cellStyle name="SAPBEXexcCritical4 3 7 4" xfId="7958" xr:uid="{00000000-0005-0000-0000-0000971F0000}"/>
    <cellStyle name="SAPBEXexcCritical4 3 8" xfId="7959" xr:uid="{00000000-0005-0000-0000-0000981F0000}"/>
    <cellStyle name="SAPBEXexcCritical4 3 9" xfId="7960" xr:uid="{00000000-0005-0000-0000-0000991F0000}"/>
    <cellStyle name="SAPBEXexcCritical4 30" xfId="7961" xr:uid="{00000000-0005-0000-0000-00009A1F0000}"/>
    <cellStyle name="SAPBEXexcCritical4 30 2" xfId="7962" xr:uid="{00000000-0005-0000-0000-00009B1F0000}"/>
    <cellStyle name="SAPBEXexcCritical4 30 3" xfId="7963" xr:uid="{00000000-0005-0000-0000-00009C1F0000}"/>
    <cellStyle name="SAPBEXexcCritical4 30 4" xfId="7964" xr:uid="{00000000-0005-0000-0000-00009D1F0000}"/>
    <cellStyle name="SAPBEXexcCritical4 30 5" xfId="7965" xr:uid="{00000000-0005-0000-0000-00009E1F0000}"/>
    <cellStyle name="SAPBEXexcCritical4 30 6" xfId="7966" xr:uid="{00000000-0005-0000-0000-00009F1F0000}"/>
    <cellStyle name="SAPBEXexcCritical4 31" xfId="7967" xr:uid="{00000000-0005-0000-0000-0000A01F0000}"/>
    <cellStyle name="SAPBEXexcCritical4 31 2" xfId="7968" xr:uid="{00000000-0005-0000-0000-0000A11F0000}"/>
    <cellStyle name="SAPBEXexcCritical4 31 3" xfId="7969" xr:uid="{00000000-0005-0000-0000-0000A21F0000}"/>
    <cellStyle name="SAPBEXexcCritical4 31 4" xfId="7970" xr:uid="{00000000-0005-0000-0000-0000A31F0000}"/>
    <cellStyle name="SAPBEXexcCritical4 31 5" xfId="7971" xr:uid="{00000000-0005-0000-0000-0000A41F0000}"/>
    <cellStyle name="SAPBEXexcCritical4 31 6" xfId="7972" xr:uid="{00000000-0005-0000-0000-0000A51F0000}"/>
    <cellStyle name="SAPBEXexcCritical4 32" xfId="7973" xr:uid="{00000000-0005-0000-0000-0000A61F0000}"/>
    <cellStyle name="SAPBEXexcCritical4 32 2" xfId="7974" xr:uid="{00000000-0005-0000-0000-0000A71F0000}"/>
    <cellStyle name="SAPBEXexcCritical4 32 3" xfId="7975" xr:uid="{00000000-0005-0000-0000-0000A81F0000}"/>
    <cellStyle name="SAPBEXexcCritical4 32 4" xfId="7976" xr:uid="{00000000-0005-0000-0000-0000A91F0000}"/>
    <cellStyle name="SAPBEXexcCritical4 32 5" xfId="7977" xr:uid="{00000000-0005-0000-0000-0000AA1F0000}"/>
    <cellStyle name="SAPBEXexcCritical4 32 6" xfId="7978" xr:uid="{00000000-0005-0000-0000-0000AB1F0000}"/>
    <cellStyle name="SAPBEXexcCritical4 33" xfId="7979" xr:uid="{00000000-0005-0000-0000-0000AC1F0000}"/>
    <cellStyle name="SAPBEXexcCritical4 34" xfId="7980" xr:uid="{00000000-0005-0000-0000-0000AD1F0000}"/>
    <cellStyle name="SAPBEXexcCritical4 35" xfId="7981" xr:uid="{00000000-0005-0000-0000-0000AE1F0000}"/>
    <cellStyle name="SAPBEXexcCritical4 36" xfId="27827" xr:uid="{00000000-0005-0000-0000-0000AF1F0000}"/>
    <cellStyle name="SAPBEXexcCritical4 37" xfId="27910" xr:uid="{00000000-0005-0000-0000-0000B01F0000}"/>
    <cellStyle name="SAPBEXexcCritical4 38" xfId="27975" xr:uid="{00000000-0005-0000-0000-0000B11F0000}"/>
    <cellStyle name="SAPBEXexcCritical4 39" xfId="28010" xr:uid="{00000000-0005-0000-0000-0000B21F0000}"/>
    <cellStyle name="SAPBEXexcCritical4 4" xfId="7982" xr:uid="{00000000-0005-0000-0000-0000B31F0000}"/>
    <cellStyle name="SAPBEXexcCritical4 4 2" xfId="7983" xr:uid="{00000000-0005-0000-0000-0000B41F0000}"/>
    <cellStyle name="SAPBEXexcCritical4 4 3" xfId="7984" xr:uid="{00000000-0005-0000-0000-0000B51F0000}"/>
    <cellStyle name="SAPBEXexcCritical4 4 4" xfId="7985" xr:uid="{00000000-0005-0000-0000-0000B61F0000}"/>
    <cellStyle name="SAPBEXexcCritical4 4 5" xfId="7986" xr:uid="{00000000-0005-0000-0000-0000B71F0000}"/>
    <cellStyle name="SAPBEXexcCritical4 4 6" xfId="7987" xr:uid="{00000000-0005-0000-0000-0000B81F0000}"/>
    <cellStyle name="SAPBEXexcCritical4 40" xfId="28148" xr:uid="{00000000-0005-0000-0000-0000B91F0000}"/>
    <cellStyle name="SAPBEXexcCritical4 5" xfId="7988" xr:uid="{00000000-0005-0000-0000-0000BA1F0000}"/>
    <cellStyle name="SAPBEXexcCritical4 5 2" xfId="7989" xr:uid="{00000000-0005-0000-0000-0000BB1F0000}"/>
    <cellStyle name="SAPBEXexcCritical4 5 3" xfId="7990" xr:uid="{00000000-0005-0000-0000-0000BC1F0000}"/>
    <cellStyle name="SAPBEXexcCritical4 5 4" xfId="7991" xr:uid="{00000000-0005-0000-0000-0000BD1F0000}"/>
    <cellStyle name="SAPBEXexcCritical4 5 5" xfId="7992" xr:uid="{00000000-0005-0000-0000-0000BE1F0000}"/>
    <cellStyle name="SAPBEXexcCritical4 5 6" xfId="7993" xr:uid="{00000000-0005-0000-0000-0000BF1F0000}"/>
    <cellStyle name="SAPBEXexcCritical4 6" xfId="7994" xr:uid="{00000000-0005-0000-0000-0000C01F0000}"/>
    <cellStyle name="SAPBEXexcCritical4 6 10" xfId="7995" xr:uid="{00000000-0005-0000-0000-0000C11F0000}"/>
    <cellStyle name="SAPBEXexcCritical4 6 2" xfId="7996" xr:uid="{00000000-0005-0000-0000-0000C21F0000}"/>
    <cellStyle name="SAPBEXexcCritical4 6 2 2" xfId="7997" xr:uid="{00000000-0005-0000-0000-0000C31F0000}"/>
    <cellStyle name="SAPBEXexcCritical4 6 2 3" xfId="7998" xr:uid="{00000000-0005-0000-0000-0000C41F0000}"/>
    <cellStyle name="SAPBEXexcCritical4 6 2 4" xfId="7999" xr:uid="{00000000-0005-0000-0000-0000C51F0000}"/>
    <cellStyle name="SAPBEXexcCritical4 6 3" xfId="8000" xr:uid="{00000000-0005-0000-0000-0000C61F0000}"/>
    <cellStyle name="SAPBEXexcCritical4 6 3 2" xfId="8001" xr:uid="{00000000-0005-0000-0000-0000C71F0000}"/>
    <cellStyle name="SAPBEXexcCritical4 6 3 3" xfId="8002" xr:uid="{00000000-0005-0000-0000-0000C81F0000}"/>
    <cellStyle name="SAPBEXexcCritical4 6 3 4" xfId="8003" xr:uid="{00000000-0005-0000-0000-0000C91F0000}"/>
    <cellStyle name="SAPBEXexcCritical4 6 4" xfId="8004" xr:uid="{00000000-0005-0000-0000-0000CA1F0000}"/>
    <cellStyle name="SAPBEXexcCritical4 6 4 2" xfId="8005" xr:uid="{00000000-0005-0000-0000-0000CB1F0000}"/>
    <cellStyle name="SAPBEXexcCritical4 6 4 3" xfId="8006" xr:uid="{00000000-0005-0000-0000-0000CC1F0000}"/>
    <cellStyle name="SAPBEXexcCritical4 6 4 4" xfId="8007" xr:uid="{00000000-0005-0000-0000-0000CD1F0000}"/>
    <cellStyle name="SAPBEXexcCritical4 6 5" xfId="8008" xr:uid="{00000000-0005-0000-0000-0000CE1F0000}"/>
    <cellStyle name="SAPBEXexcCritical4 6 5 2" xfId="8009" xr:uid="{00000000-0005-0000-0000-0000CF1F0000}"/>
    <cellStyle name="SAPBEXexcCritical4 6 5 3" xfId="8010" xr:uid="{00000000-0005-0000-0000-0000D01F0000}"/>
    <cellStyle name="SAPBEXexcCritical4 6 5 4" xfId="8011" xr:uid="{00000000-0005-0000-0000-0000D11F0000}"/>
    <cellStyle name="SAPBEXexcCritical4 6 6" xfId="8012" xr:uid="{00000000-0005-0000-0000-0000D21F0000}"/>
    <cellStyle name="SAPBEXexcCritical4 6 7" xfId="8013" xr:uid="{00000000-0005-0000-0000-0000D31F0000}"/>
    <cellStyle name="SAPBEXexcCritical4 6 8" xfId="8014" xr:uid="{00000000-0005-0000-0000-0000D41F0000}"/>
    <cellStyle name="SAPBEXexcCritical4 6 9" xfId="8015" xr:uid="{00000000-0005-0000-0000-0000D51F0000}"/>
    <cellStyle name="SAPBEXexcCritical4 7" xfId="8016" xr:uid="{00000000-0005-0000-0000-0000D61F0000}"/>
    <cellStyle name="SAPBEXexcCritical4 7 10" xfId="8017" xr:uid="{00000000-0005-0000-0000-0000D71F0000}"/>
    <cellStyle name="SAPBEXexcCritical4 7 2" xfId="8018" xr:uid="{00000000-0005-0000-0000-0000D81F0000}"/>
    <cellStyle name="SAPBEXexcCritical4 7 2 2" xfId="8019" xr:uid="{00000000-0005-0000-0000-0000D91F0000}"/>
    <cellStyle name="SAPBEXexcCritical4 7 2 3" xfId="8020" xr:uid="{00000000-0005-0000-0000-0000DA1F0000}"/>
    <cellStyle name="SAPBEXexcCritical4 7 2 4" xfId="8021" xr:uid="{00000000-0005-0000-0000-0000DB1F0000}"/>
    <cellStyle name="SAPBEXexcCritical4 7 3" xfId="8022" xr:uid="{00000000-0005-0000-0000-0000DC1F0000}"/>
    <cellStyle name="SAPBEXexcCritical4 7 3 2" xfId="8023" xr:uid="{00000000-0005-0000-0000-0000DD1F0000}"/>
    <cellStyle name="SAPBEXexcCritical4 7 3 3" xfId="8024" xr:uid="{00000000-0005-0000-0000-0000DE1F0000}"/>
    <cellStyle name="SAPBEXexcCritical4 7 3 4" xfId="8025" xr:uid="{00000000-0005-0000-0000-0000DF1F0000}"/>
    <cellStyle name="SAPBEXexcCritical4 7 4" xfId="8026" xr:uid="{00000000-0005-0000-0000-0000E01F0000}"/>
    <cellStyle name="SAPBEXexcCritical4 7 4 2" xfId="8027" xr:uid="{00000000-0005-0000-0000-0000E11F0000}"/>
    <cellStyle name="SAPBEXexcCritical4 7 4 3" xfId="8028" xr:uid="{00000000-0005-0000-0000-0000E21F0000}"/>
    <cellStyle name="SAPBEXexcCritical4 7 4 4" xfId="8029" xr:uid="{00000000-0005-0000-0000-0000E31F0000}"/>
    <cellStyle name="SAPBEXexcCritical4 7 5" xfId="8030" xr:uid="{00000000-0005-0000-0000-0000E41F0000}"/>
    <cellStyle name="SAPBEXexcCritical4 7 5 2" xfId="8031" xr:uid="{00000000-0005-0000-0000-0000E51F0000}"/>
    <cellStyle name="SAPBEXexcCritical4 7 5 3" xfId="8032" xr:uid="{00000000-0005-0000-0000-0000E61F0000}"/>
    <cellStyle name="SAPBEXexcCritical4 7 5 4" xfId="8033" xr:uid="{00000000-0005-0000-0000-0000E71F0000}"/>
    <cellStyle name="SAPBEXexcCritical4 7 6" xfId="8034" xr:uid="{00000000-0005-0000-0000-0000E81F0000}"/>
    <cellStyle name="SAPBEXexcCritical4 7 7" xfId="8035" xr:uid="{00000000-0005-0000-0000-0000E91F0000}"/>
    <cellStyle name="SAPBEXexcCritical4 7 8" xfId="8036" xr:uid="{00000000-0005-0000-0000-0000EA1F0000}"/>
    <cellStyle name="SAPBEXexcCritical4 7 9" xfId="8037" xr:uid="{00000000-0005-0000-0000-0000EB1F0000}"/>
    <cellStyle name="SAPBEXexcCritical4 8" xfId="8038" xr:uid="{00000000-0005-0000-0000-0000EC1F0000}"/>
    <cellStyle name="SAPBEXexcCritical4 8 2" xfId="8039" xr:uid="{00000000-0005-0000-0000-0000ED1F0000}"/>
    <cellStyle name="SAPBEXexcCritical4 8 3" xfId="8040" xr:uid="{00000000-0005-0000-0000-0000EE1F0000}"/>
    <cellStyle name="SAPBEXexcCritical4 8 4" xfId="8041" xr:uid="{00000000-0005-0000-0000-0000EF1F0000}"/>
    <cellStyle name="SAPBEXexcCritical4 8 5" xfId="8042" xr:uid="{00000000-0005-0000-0000-0000F01F0000}"/>
    <cellStyle name="SAPBEXexcCritical4 8 6" xfId="8043" xr:uid="{00000000-0005-0000-0000-0000F11F0000}"/>
    <cellStyle name="SAPBEXexcCritical4 9" xfId="8044" xr:uid="{00000000-0005-0000-0000-0000F21F0000}"/>
    <cellStyle name="SAPBEXexcCritical4 9 2" xfId="8045" xr:uid="{00000000-0005-0000-0000-0000F31F0000}"/>
    <cellStyle name="SAPBEXexcCritical4 9 3" xfId="8046" xr:uid="{00000000-0005-0000-0000-0000F41F0000}"/>
    <cellStyle name="SAPBEXexcCritical4 9 4" xfId="8047" xr:uid="{00000000-0005-0000-0000-0000F51F0000}"/>
    <cellStyle name="SAPBEXexcCritical4 9 5" xfId="8048" xr:uid="{00000000-0005-0000-0000-0000F61F0000}"/>
    <cellStyle name="SAPBEXexcCritical4 9 6" xfId="8049" xr:uid="{00000000-0005-0000-0000-0000F71F0000}"/>
    <cellStyle name="SAPBEXexcCritical4_Receipts" xfId="8050" xr:uid="{00000000-0005-0000-0000-0000F81F0000}"/>
    <cellStyle name="SAPBEXexcCritical5" xfId="8051" xr:uid="{00000000-0005-0000-0000-0000F91F0000}"/>
    <cellStyle name="SAPBEXexcCritical5 10" xfId="8052" xr:uid="{00000000-0005-0000-0000-0000FA1F0000}"/>
    <cellStyle name="SAPBEXexcCritical5 10 2" xfId="8053" xr:uid="{00000000-0005-0000-0000-0000FB1F0000}"/>
    <cellStyle name="SAPBEXexcCritical5 10 3" xfId="8054" xr:uid="{00000000-0005-0000-0000-0000FC1F0000}"/>
    <cellStyle name="SAPBEXexcCritical5 10 4" xfId="8055" xr:uid="{00000000-0005-0000-0000-0000FD1F0000}"/>
    <cellStyle name="SAPBEXexcCritical5 10 5" xfId="8056" xr:uid="{00000000-0005-0000-0000-0000FE1F0000}"/>
    <cellStyle name="SAPBEXexcCritical5 10 6" xfId="8057" xr:uid="{00000000-0005-0000-0000-0000FF1F0000}"/>
    <cellStyle name="SAPBEXexcCritical5 11" xfId="8058" xr:uid="{00000000-0005-0000-0000-000000200000}"/>
    <cellStyle name="SAPBEXexcCritical5 11 2" xfId="8059" xr:uid="{00000000-0005-0000-0000-000001200000}"/>
    <cellStyle name="SAPBEXexcCritical5 11 3" xfId="8060" xr:uid="{00000000-0005-0000-0000-000002200000}"/>
    <cellStyle name="SAPBEXexcCritical5 11 4" xfId="8061" xr:uid="{00000000-0005-0000-0000-000003200000}"/>
    <cellStyle name="SAPBEXexcCritical5 11 5" xfId="8062" xr:uid="{00000000-0005-0000-0000-000004200000}"/>
    <cellStyle name="SAPBEXexcCritical5 11 6" xfId="8063" xr:uid="{00000000-0005-0000-0000-000005200000}"/>
    <cellStyle name="SAPBEXexcCritical5 12" xfId="8064" xr:uid="{00000000-0005-0000-0000-000006200000}"/>
    <cellStyle name="SAPBEXexcCritical5 12 2" xfId="8065" xr:uid="{00000000-0005-0000-0000-000007200000}"/>
    <cellStyle name="SAPBEXexcCritical5 12 3" xfId="8066" xr:uid="{00000000-0005-0000-0000-000008200000}"/>
    <cellStyle name="SAPBEXexcCritical5 12 4" xfId="8067" xr:uid="{00000000-0005-0000-0000-000009200000}"/>
    <cellStyle name="SAPBEXexcCritical5 12 5" xfId="8068" xr:uid="{00000000-0005-0000-0000-00000A200000}"/>
    <cellStyle name="SAPBEXexcCritical5 12 6" xfId="8069" xr:uid="{00000000-0005-0000-0000-00000B200000}"/>
    <cellStyle name="SAPBEXexcCritical5 13" xfId="8070" xr:uid="{00000000-0005-0000-0000-00000C200000}"/>
    <cellStyle name="SAPBEXexcCritical5 13 2" xfId="8071" xr:uid="{00000000-0005-0000-0000-00000D200000}"/>
    <cellStyle name="SAPBEXexcCritical5 13 3" xfId="8072" xr:uid="{00000000-0005-0000-0000-00000E200000}"/>
    <cellStyle name="SAPBEXexcCritical5 13 4" xfId="8073" xr:uid="{00000000-0005-0000-0000-00000F200000}"/>
    <cellStyle name="SAPBEXexcCritical5 13 5" xfId="8074" xr:uid="{00000000-0005-0000-0000-000010200000}"/>
    <cellStyle name="SAPBEXexcCritical5 13 6" xfId="8075" xr:uid="{00000000-0005-0000-0000-000011200000}"/>
    <cellStyle name="SAPBEXexcCritical5 14" xfId="8076" xr:uid="{00000000-0005-0000-0000-000012200000}"/>
    <cellStyle name="SAPBEXexcCritical5 14 2" xfId="8077" xr:uid="{00000000-0005-0000-0000-000013200000}"/>
    <cellStyle name="SAPBEXexcCritical5 14 3" xfId="8078" xr:uid="{00000000-0005-0000-0000-000014200000}"/>
    <cellStyle name="SAPBEXexcCritical5 14 4" xfId="8079" xr:uid="{00000000-0005-0000-0000-000015200000}"/>
    <cellStyle name="SAPBEXexcCritical5 14 5" xfId="8080" xr:uid="{00000000-0005-0000-0000-000016200000}"/>
    <cellStyle name="SAPBEXexcCritical5 14 6" xfId="8081" xr:uid="{00000000-0005-0000-0000-000017200000}"/>
    <cellStyle name="SAPBEXexcCritical5 15" xfId="8082" xr:uid="{00000000-0005-0000-0000-000018200000}"/>
    <cellStyle name="SAPBEXexcCritical5 15 2" xfId="8083" xr:uid="{00000000-0005-0000-0000-000019200000}"/>
    <cellStyle name="SAPBEXexcCritical5 15 3" xfId="8084" xr:uid="{00000000-0005-0000-0000-00001A200000}"/>
    <cellStyle name="SAPBEXexcCritical5 15 4" xfId="8085" xr:uid="{00000000-0005-0000-0000-00001B200000}"/>
    <cellStyle name="SAPBEXexcCritical5 15 5" xfId="8086" xr:uid="{00000000-0005-0000-0000-00001C200000}"/>
    <cellStyle name="SAPBEXexcCritical5 15 6" xfId="8087" xr:uid="{00000000-0005-0000-0000-00001D200000}"/>
    <cellStyle name="SAPBEXexcCritical5 16" xfId="8088" xr:uid="{00000000-0005-0000-0000-00001E200000}"/>
    <cellStyle name="SAPBEXexcCritical5 16 2" xfId="8089" xr:uid="{00000000-0005-0000-0000-00001F200000}"/>
    <cellStyle name="SAPBEXexcCritical5 16 3" xfId="8090" xr:uid="{00000000-0005-0000-0000-000020200000}"/>
    <cellStyle name="SAPBEXexcCritical5 16 4" xfId="8091" xr:uid="{00000000-0005-0000-0000-000021200000}"/>
    <cellStyle name="SAPBEXexcCritical5 16 5" xfId="8092" xr:uid="{00000000-0005-0000-0000-000022200000}"/>
    <cellStyle name="SAPBEXexcCritical5 16 6" xfId="8093" xr:uid="{00000000-0005-0000-0000-000023200000}"/>
    <cellStyle name="SAPBEXexcCritical5 17" xfId="8094" xr:uid="{00000000-0005-0000-0000-000024200000}"/>
    <cellStyle name="SAPBEXexcCritical5 17 2" xfId="8095" xr:uid="{00000000-0005-0000-0000-000025200000}"/>
    <cellStyle name="SAPBEXexcCritical5 17 3" xfId="8096" xr:uid="{00000000-0005-0000-0000-000026200000}"/>
    <cellStyle name="SAPBEXexcCritical5 17 4" xfId="8097" xr:uid="{00000000-0005-0000-0000-000027200000}"/>
    <cellStyle name="SAPBEXexcCritical5 17 5" xfId="8098" xr:uid="{00000000-0005-0000-0000-000028200000}"/>
    <cellStyle name="SAPBEXexcCritical5 17 6" xfId="8099" xr:uid="{00000000-0005-0000-0000-000029200000}"/>
    <cellStyle name="SAPBEXexcCritical5 18" xfId="8100" xr:uid="{00000000-0005-0000-0000-00002A200000}"/>
    <cellStyle name="SAPBEXexcCritical5 18 2" xfId="8101" xr:uid="{00000000-0005-0000-0000-00002B200000}"/>
    <cellStyle name="SAPBEXexcCritical5 18 3" xfId="8102" xr:uid="{00000000-0005-0000-0000-00002C200000}"/>
    <cellStyle name="SAPBEXexcCritical5 18 4" xfId="8103" xr:uid="{00000000-0005-0000-0000-00002D200000}"/>
    <cellStyle name="SAPBEXexcCritical5 18 5" xfId="8104" xr:uid="{00000000-0005-0000-0000-00002E200000}"/>
    <cellStyle name="SAPBEXexcCritical5 18 6" xfId="8105" xr:uid="{00000000-0005-0000-0000-00002F200000}"/>
    <cellStyle name="SAPBEXexcCritical5 19" xfId="8106" xr:uid="{00000000-0005-0000-0000-000030200000}"/>
    <cellStyle name="SAPBEXexcCritical5 19 2" xfId="8107" xr:uid="{00000000-0005-0000-0000-000031200000}"/>
    <cellStyle name="SAPBEXexcCritical5 19 3" xfId="8108" xr:uid="{00000000-0005-0000-0000-000032200000}"/>
    <cellStyle name="SAPBEXexcCritical5 19 4" xfId="8109" xr:uid="{00000000-0005-0000-0000-000033200000}"/>
    <cellStyle name="SAPBEXexcCritical5 19 5" xfId="8110" xr:uid="{00000000-0005-0000-0000-000034200000}"/>
    <cellStyle name="SAPBEXexcCritical5 19 6" xfId="8111" xr:uid="{00000000-0005-0000-0000-000035200000}"/>
    <cellStyle name="SAPBEXexcCritical5 2" xfId="8112" xr:uid="{00000000-0005-0000-0000-000036200000}"/>
    <cellStyle name="SAPBEXexcCritical5 2 10" xfId="8113" xr:uid="{00000000-0005-0000-0000-000037200000}"/>
    <cellStyle name="SAPBEXexcCritical5 2 10 2" xfId="8114" xr:uid="{00000000-0005-0000-0000-000038200000}"/>
    <cellStyle name="SAPBEXexcCritical5 2 10 3" xfId="8115" xr:uid="{00000000-0005-0000-0000-000039200000}"/>
    <cellStyle name="SAPBEXexcCritical5 2 10 4" xfId="8116" xr:uid="{00000000-0005-0000-0000-00003A200000}"/>
    <cellStyle name="SAPBEXexcCritical5 2 11" xfId="8117" xr:uid="{00000000-0005-0000-0000-00003B200000}"/>
    <cellStyle name="SAPBEXexcCritical5 2 11 2" xfId="8118" xr:uid="{00000000-0005-0000-0000-00003C200000}"/>
    <cellStyle name="SAPBEXexcCritical5 2 11 3" xfId="8119" xr:uid="{00000000-0005-0000-0000-00003D200000}"/>
    <cellStyle name="SAPBEXexcCritical5 2 11 4" xfId="8120" xr:uid="{00000000-0005-0000-0000-00003E200000}"/>
    <cellStyle name="SAPBEXexcCritical5 2 12" xfId="8121" xr:uid="{00000000-0005-0000-0000-00003F200000}"/>
    <cellStyle name="SAPBEXexcCritical5 2 12 2" xfId="8122" xr:uid="{00000000-0005-0000-0000-000040200000}"/>
    <cellStyle name="SAPBEXexcCritical5 2 12 3" xfId="8123" xr:uid="{00000000-0005-0000-0000-000041200000}"/>
    <cellStyle name="SAPBEXexcCritical5 2 12 4" xfId="8124" xr:uid="{00000000-0005-0000-0000-000042200000}"/>
    <cellStyle name="SAPBEXexcCritical5 2 13" xfId="8125" xr:uid="{00000000-0005-0000-0000-000043200000}"/>
    <cellStyle name="SAPBEXexcCritical5 2 13 2" xfId="8126" xr:uid="{00000000-0005-0000-0000-000044200000}"/>
    <cellStyle name="SAPBEXexcCritical5 2 13 3" xfId="8127" xr:uid="{00000000-0005-0000-0000-000045200000}"/>
    <cellStyle name="SAPBEXexcCritical5 2 13 4" xfId="8128" xr:uid="{00000000-0005-0000-0000-000046200000}"/>
    <cellStyle name="SAPBEXexcCritical5 2 14" xfId="8129" xr:uid="{00000000-0005-0000-0000-000047200000}"/>
    <cellStyle name="SAPBEXexcCritical5 2 15" xfId="8130" xr:uid="{00000000-0005-0000-0000-000048200000}"/>
    <cellStyle name="SAPBEXexcCritical5 2 16" xfId="8131" xr:uid="{00000000-0005-0000-0000-000049200000}"/>
    <cellStyle name="SAPBEXexcCritical5 2 17" xfId="8132" xr:uid="{00000000-0005-0000-0000-00004A200000}"/>
    <cellStyle name="SAPBEXexcCritical5 2 18" xfId="8133" xr:uid="{00000000-0005-0000-0000-00004B200000}"/>
    <cellStyle name="SAPBEXexcCritical5 2 2" xfId="8134" xr:uid="{00000000-0005-0000-0000-00004C200000}"/>
    <cellStyle name="SAPBEXexcCritical5 2 2 2" xfId="8135" xr:uid="{00000000-0005-0000-0000-00004D200000}"/>
    <cellStyle name="SAPBEXexcCritical5 2 2 2 2" xfId="8136" xr:uid="{00000000-0005-0000-0000-00004E200000}"/>
    <cellStyle name="SAPBEXexcCritical5 2 2 2 3" xfId="8137" xr:uid="{00000000-0005-0000-0000-00004F200000}"/>
    <cellStyle name="SAPBEXexcCritical5 2 2 2 4" xfId="8138" xr:uid="{00000000-0005-0000-0000-000050200000}"/>
    <cellStyle name="SAPBEXexcCritical5 2 2 2 5" xfId="8139" xr:uid="{00000000-0005-0000-0000-000051200000}"/>
    <cellStyle name="SAPBEXexcCritical5 2 2 2 6" xfId="8140" xr:uid="{00000000-0005-0000-0000-000052200000}"/>
    <cellStyle name="SAPBEXexcCritical5 2 2 3" xfId="8141" xr:uid="{00000000-0005-0000-0000-000053200000}"/>
    <cellStyle name="SAPBEXexcCritical5 2 2 3 2" xfId="8142" xr:uid="{00000000-0005-0000-0000-000054200000}"/>
    <cellStyle name="SAPBEXexcCritical5 2 2 3 3" xfId="8143" xr:uid="{00000000-0005-0000-0000-000055200000}"/>
    <cellStyle name="SAPBEXexcCritical5 2 2 3 4" xfId="8144" xr:uid="{00000000-0005-0000-0000-000056200000}"/>
    <cellStyle name="SAPBEXexcCritical5 2 2 3 5" xfId="8145" xr:uid="{00000000-0005-0000-0000-000057200000}"/>
    <cellStyle name="SAPBEXexcCritical5 2 2 3 6" xfId="8146" xr:uid="{00000000-0005-0000-0000-000058200000}"/>
    <cellStyle name="SAPBEXexcCritical5 2 2 4" xfId="8147" xr:uid="{00000000-0005-0000-0000-000059200000}"/>
    <cellStyle name="SAPBEXexcCritical5 2 2 4 2" xfId="8148" xr:uid="{00000000-0005-0000-0000-00005A200000}"/>
    <cellStyle name="SAPBEXexcCritical5 2 2 4 3" xfId="8149" xr:uid="{00000000-0005-0000-0000-00005B200000}"/>
    <cellStyle name="SAPBEXexcCritical5 2 2 4 4" xfId="8150" xr:uid="{00000000-0005-0000-0000-00005C200000}"/>
    <cellStyle name="SAPBEXexcCritical5 2 2 4 5" xfId="8151" xr:uid="{00000000-0005-0000-0000-00005D200000}"/>
    <cellStyle name="SAPBEXexcCritical5 2 2 4 6" xfId="8152" xr:uid="{00000000-0005-0000-0000-00005E200000}"/>
    <cellStyle name="SAPBEXexcCritical5 2 2 5" xfId="8153" xr:uid="{00000000-0005-0000-0000-00005F200000}"/>
    <cellStyle name="SAPBEXexcCritical5 2 2 5 2" xfId="8154" xr:uid="{00000000-0005-0000-0000-000060200000}"/>
    <cellStyle name="SAPBEXexcCritical5 2 2 5 3" xfId="8155" xr:uid="{00000000-0005-0000-0000-000061200000}"/>
    <cellStyle name="SAPBEXexcCritical5 2 2 5 4" xfId="8156" xr:uid="{00000000-0005-0000-0000-000062200000}"/>
    <cellStyle name="SAPBEXexcCritical5 2 2 5 5" xfId="8157" xr:uid="{00000000-0005-0000-0000-000063200000}"/>
    <cellStyle name="SAPBEXexcCritical5 2 2 5 6" xfId="8158" xr:uid="{00000000-0005-0000-0000-000064200000}"/>
    <cellStyle name="SAPBEXexcCritical5 2 2 6" xfId="8159" xr:uid="{00000000-0005-0000-0000-000065200000}"/>
    <cellStyle name="SAPBEXexcCritical5 2 2 7" xfId="8160" xr:uid="{00000000-0005-0000-0000-000066200000}"/>
    <cellStyle name="SAPBEXexcCritical5 2 2 8" xfId="8161" xr:uid="{00000000-0005-0000-0000-000067200000}"/>
    <cellStyle name="SAPBEXexcCritical5 2 3" xfId="8162" xr:uid="{00000000-0005-0000-0000-000068200000}"/>
    <cellStyle name="SAPBEXexcCritical5 2 3 2" xfId="8163" xr:uid="{00000000-0005-0000-0000-000069200000}"/>
    <cellStyle name="SAPBEXexcCritical5 2 3 2 2" xfId="8164" xr:uid="{00000000-0005-0000-0000-00006A200000}"/>
    <cellStyle name="SAPBEXexcCritical5 2 3 2 3" xfId="8165" xr:uid="{00000000-0005-0000-0000-00006B200000}"/>
    <cellStyle name="SAPBEXexcCritical5 2 3 2 4" xfId="8166" xr:uid="{00000000-0005-0000-0000-00006C200000}"/>
    <cellStyle name="SAPBEXexcCritical5 2 3 2 5" xfId="8167" xr:uid="{00000000-0005-0000-0000-00006D200000}"/>
    <cellStyle name="SAPBEXexcCritical5 2 3 2 6" xfId="8168" xr:uid="{00000000-0005-0000-0000-00006E200000}"/>
    <cellStyle name="SAPBEXexcCritical5 2 3 3" xfId="8169" xr:uid="{00000000-0005-0000-0000-00006F200000}"/>
    <cellStyle name="SAPBEXexcCritical5 2 3 3 2" xfId="8170" xr:uid="{00000000-0005-0000-0000-000070200000}"/>
    <cellStyle name="SAPBEXexcCritical5 2 3 3 3" xfId="8171" xr:uid="{00000000-0005-0000-0000-000071200000}"/>
    <cellStyle name="SAPBEXexcCritical5 2 3 3 4" xfId="8172" xr:uid="{00000000-0005-0000-0000-000072200000}"/>
    <cellStyle name="SAPBEXexcCritical5 2 3 3 5" xfId="8173" xr:uid="{00000000-0005-0000-0000-000073200000}"/>
    <cellStyle name="SAPBEXexcCritical5 2 3 3 6" xfId="8174" xr:uid="{00000000-0005-0000-0000-000074200000}"/>
    <cellStyle name="SAPBEXexcCritical5 2 3 4" xfId="8175" xr:uid="{00000000-0005-0000-0000-000075200000}"/>
    <cellStyle name="SAPBEXexcCritical5 2 3 4 2" xfId="8176" xr:uid="{00000000-0005-0000-0000-000076200000}"/>
    <cellStyle name="SAPBEXexcCritical5 2 3 4 3" xfId="8177" xr:uid="{00000000-0005-0000-0000-000077200000}"/>
    <cellStyle name="SAPBEXexcCritical5 2 3 4 4" xfId="8178" xr:uid="{00000000-0005-0000-0000-000078200000}"/>
    <cellStyle name="SAPBEXexcCritical5 2 3 4 5" xfId="8179" xr:uid="{00000000-0005-0000-0000-000079200000}"/>
    <cellStyle name="SAPBEXexcCritical5 2 3 4 6" xfId="8180" xr:uid="{00000000-0005-0000-0000-00007A200000}"/>
    <cellStyle name="SAPBEXexcCritical5 2 3 5" xfId="8181" xr:uid="{00000000-0005-0000-0000-00007B200000}"/>
    <cellStyle name="SAPBEXexcCritical5 2 3 5 2" xfId="8182" xr:uid="{00000000-0005-0000-0000-00007C200000}"/>
    <cellStyle name="SAPBEXexcCritical5 2 3 5 3" xfId="8183" xr:uid="{00000000-0005-0000-0000-00007D200000}"/>
    <cellStyle name="SAPBEXexcCritical5 2 3 5 4" xfId="8184" xr:uid="{00000000-0005-0000-0000-00007E200000}"/>
    <cellStyle name="SAPBEXexcCritical5 2 3 5 5" xfId="8185" xr:uid="{00000000-0005-0000-0000-00007F200000}"/>
    <cellStyle name="SAPBEXexcCritical5 2 3 5 6" xfId="8186" xr:uid="{00000000-0005-0000-0000-000080200000}"/>
    <cellStyle name="SAPBEXexcCritical5 2 3 6" xfId="8187" xr:uid="{00000000-0005-0000-0000-000081200000}"/>
    <cellStyle name="SAPBEXexcCritical5 2 3 7" xfId="8188" xr:uid="{00000000-0005-0000-0000-000082200000}"/>
    <cellStyle name="SAPBEXexcCritical5 2 3 8" xfId="8189" xr:uid="{00000000-0005-0000-0000-000083200000}"/>
    <cellStyle name="SAPBEXexcCritical5 2 4" xfId="8190" xr:uid="{00000000-0005-0000-0000-000084200000}"/>
    <cellStyle name="SAPBEXexcCritical5 2 4 2" xfId="8191" xr:uid="{00000000-0005-0000-0000-000085200000}"/>
    <cellStyle name="SAPBEXexcCritical5 2 4 2 2" xfId="8192" xr:uid="{00000000-0005-0000-0000-000086200000}"/>
    <cellStyle name="SAPBEXexcCritical5 2 4 2 3" xfId="8193" xr:uid="{00000000-0005-0000-0000-000087200000}"/>
    <cellStyle name="SAPBEXexcCritical5 2 4 2 4" xfId="8194" xr:uid="{00000000-0005-0000-0000-000088200000}"/>
    <cellStyle name="SAPBEXexcCritical5 2 4 2 5" xfId="8195" xr:uid="{00000000-0005-0000-0000-000089200000}"/>
    <cellStyle name="SAPBEXexcCritical5 2 4 2 6" xfId="8196" xr:uid="{00000000-0005-0000-0000-00008A200000}"/>
    <cellStyle name="SAPBEXexcCritical5 2 4 3" xfId="8197" xr:uid="{00000000-0005-0000-0000-00008B200000}"/>
    <cellStyle name="SAPBEXexcCritical5 2 4 3 2" xfId="8198" xr:uid="{00000000-0005-0000-0000-00008C200000}"/>
    <cellStyle name="SAPBEXexcCritical5 2 4 3 3" xfId="8199" xr:uid="{00000000-0005-0000-0000-00008D200000}"/>
    <cellStyle name="SAPBEXexcCritical5 2 4 3 4" xfId="8200" xr:uid="{00000000-0005-0000-0000-00008E200000}"/>
    <cellStyle name="SAPBEXexcCritical5 2 4 3 5" xfId="8201" xr:uid="{00000000-0005-0000-0000-00008F200000}"/>
    <cellStyle name="SAPBEXexcCritical5 2 4 3 6" xfId="8202" xr:uid="{00000000-0005-0000-0000-000090200000}"/>
    <cellStyle name="SAPBEXexcCritical5 2 4 4" xfId="8203" xr:uid="{00000000-0005-0000-0000-000091200000}"/>
    <cellStyle name="SAPBEXexcCritical5 2 4 4 2" xfId="8204" xr:uid="{00000000-0005-0000-0000-000092200000}"/>
    <cellStyle name="SAPBEXexcCritical5 2 4 4 3" xfId="8205" xr:uid="{00000000-0005-0000-0000-000093200000}"/>
    <cellStyle name="SAPBEXexcCritical5 2 4 4 4" xfId="8206" xr:uid="{00000000-0005-0000-0000-000094200000}"/>
    <cellStyle name="SAPBEXexcCritical5 2 4 4 5" xfId="8207" xr:uid="{00000000-0005-0000-0000-000095200000}"/>
    <cellStyle name="SAPBEXexcCritical5 2 4 4 6" xfId="8208" xr:uid="{00000000-0005-0000-0000-000096200000}"/>
    <cellStyle name="SAPBEXexcCritical5 2 4 5" xfId="8209" xr:uid="{00000000-0005-0000-0000-000097200000}"/>
    <cellStyle name="SAPBEXexcCritical5 2 4 5 2" xfId="8210" xr:uid="{00000000-0005-0000-0000-000098200000}"/>
    <cellStyle name="SAPBEXexcCritical5 2 4 5 3" xfId="8211" xr:uid="{00000000-0005-0000-0000-000099200000}"/>
    <cellStyle name="SAPBEXexcCritical5 2 4 5 4" xfId="8212" xr:uid="{00000000-0005-0000-0000-00009A200000}"/>
    <cellStyle name="SAPBEXexcCritical5 2 4 5 5" xfId="8213" xr:uid="{00000000-0005-0000-0000-00009B200000}"/>
    <cellStyle name="SAPBEXexcCritical5 2 4 5 6" xfId="8214" xr:uid="{00000000-0005-0000-0000-00009C200000}"/>
    <cellStyle name="SAPBEXexcCritical5 2 4 6" xfId="8215" xr:uid="{00000000-0005-0000-0000-00009D200000}"/>
    <cellStyle name="SAPBEXexcCritical5 2 4 7" xfId="8216" xr:uid="{00000000-0005-0000-0000-00009E200000}"/>
    <cellStyle name="SAPBEXexcCritical5 2 4 8" xfId="8217" xr:uid="{00000000-0005-0000-0000-00009F200000}"/>
    <cellStyle name="SAPBEXexcCritical5 2 5" xfId="8218" xr:uid="{00000000-0005-0000-0000-0000A0200000}"/>
    <cellStyle name="SAPBEXexcCritical5 2 5 2" xfId="8219" xr:uid="{00000000-0005-0000-0000-0000A1200000}"/>
    <cellStyle name="SAPBEXexcCritical5 2 5 3" xfId="8220" xr:uid="{00000000-0005-0000-0000-0000A2200000}"/>
    <cellStyle name="SAPBEXexcCritical5 2 5 4" xfId="8221" xr:uid="{00000000-0005-0000-0000-0000A3200000}"/>
    <cellStyle name="SAPBEXexcCritical5 2 6" xfId="8222" xr:uid="{00000000-0005-0000-0000-0000A4200000}"/>
    <cellStyle name="SAPBEXexcCritical5 2 6 2" xfId="8223" xr:uid="{00000000-0005-0000-0000-0000A5200000}"/>
    <cellStyle name="SAPBEXexcCritical5 2 6 3" xfId="8224" xr:uid="{00000000-0005-0000-0000-0000A6200000}"/>
    <cellStyle name="SAPBEXexcCritical5 2 6 4" xfId="8225" xr:uid="{00000000-0005-0000-0000-0000A7200000}"/>
    <cellStyle name="SAPBEXexcCritical5 2 7" xfId="8226" xr:uid="{00000000-0005-0000-0000-0000A8200000}"/>
    <cellStyle name="SAPBEXexcCritical5 2 7 2" xfId="8227" xr:uid="{00000000-0005-0000-0000-0000A9200000}"/>
    <cellStyle name="SAPBEXexcCritical5 2 7 3" xfId="8228" xr:uid="{00000000-0005-0000-0000-0000AA200000}"/>
    <cellStyle name="SAPBEXexcCritical5 2 7 4" xfId="8229" xr:uid="{00000000-0005-0000-0000-0000AB200000}"/>
    <cellStyle name="SAPBEXexcCritical5 2 8" xfId="8230" xr:uid="{00000000-0005-0000-0000-0000AC200000}"/>
    <cellStyle name="SAPBEXexcCritical5 2 8 2" xfId="8231" xr:uid="{00000000-0005-0000-0000-0000AD200000}"/>
    <cellStyle name="SAPBEXexcCritical5 2 8 3" xfId="8232" xr:uid="{00000000-0005-0000-0000-0000AE200000}"/>
    <cellStyle name="SAPBEXexcCritical5 2 8 4" xfId="8233" xr:uid="{00000000-0005-0000-0000-0000AF200000}"/>
    <cellStyle name="SAPBEXexcCritical5 2 9" xfId="8234" xr:uid="{00000000-0005-0000-0000-0000B0200000}"/>
    <cellStyle name="SAPBEXexcCritical5 2 9 2" xfId="8235" xr:uid="{00000000-0005-0000-0000-0000B1200000}"/>
    <cellStyle name="SAPBEXexcCritical5 2 9 3" xfId="8236" xr:uid="{00000000-0005-0000-0000-0000B2200000}"/>
    <cellStyle name="SAPBEXexcCritical5 2 9 4" xfId="8237" xr:uid="{00000000-0005-0000-0000-0000B3200000}"/>
    <cellStyle name="SAPBEXexcCritical5 20" xfId="8238" xr:uid="{00000000-0005-0000-0000-0000B4200000}"/>
    <cellStyle name="SAPBEXexcCritical5 20 2" xfId="8239" xr:uid="{00000000-0005-0000-0000-0000B5200000}"/>
    <cellStyle name="SAPBEXexcCritical5 20 3" xfId="8240" xr:uid="{00000000-0005-0000-0000-0000B6200000}"/>
    <cellStyle name="SAPBEXexcCritical5 20 4" xfId="8241" xr:uid="{00000000-0005-0000-0000-0000B7200000}"/>
    <cellStyle name="SAPBEXexcCritical5 20 5" xfId="8242" xr:uid="{00000000-0005-0000-0000-0000B8200000}"/>
    <cellStyle name="SAPBEXexcCritical5 20 6" xfId="8243" xr:uid="{00000000-0005-0000-0000-0000B9200000}"/>
    <cellStyle name="SAPBEXexcCritical5 21" xfId="8244" xr:uid="{00000000-0005-0000-0000-0000BA200000}"/>
    <cellStyle name="SAPBEXexcCritical5 21 2" xfId="8245" xr:uid="{00000000-0005-0000-0000-0000BB200000}"/>
    <cellStyle name="SAPBEXexcCritical5 21 3" xfId="8246" xr:uid="{00000000-0005-0000-0000-0000BC200000}"/>
    <cellStyle name="SAPBEXexcCritical5 21 4" xfId="8247" xr:uid="{00000000-0005-0000-0000-0000BD200000}"/>
    <cellStyle name="SAPBEXexcCritical5 21 5" xfId="8248" xr:uid="{00000000-0005-0000-0000-0000BE200000}"/>
    <cellStyle name="SAPBEXexcCritical5 21 6" xfId="8249" xr:uid="{00000000-0005-0000-0000-0000BF200000}"/>
    <cellStyle name="SAPBEXexcCritical5 22" xfId="8250" xr:uid="{00000000-0005-0000-0000-0000C0200000}"/>
    <cellStyle name="SAPBEXexcCritical5 22 2" xfId="8251" xr:uid="{00000000-0005-0000-0000-0000C1200000}"/>
    <cellStyle name="SAPBEXexcCritical5 22 3" xfId="8252" xr:uid="{00000000-0005-0000-0000-0000C2200000}"/>
    <cellStyle name="SAPBEXexcCritical5 22 4" xfId="8253" xr:uid="{00000000-0005-0000-0000-0000C3200000}"/>
    <cellStyle name="SAPBEXexcCritical5 22 5" xfId="8254" xr:uid="{00000000-0005-0000-0000-0000C4200000}"/>
    <cellStyle name="SAPBEXexcCritical5 22 6" xfId="8255" xr:uid="{00000000-0005-0000-0000-0000C5200000}"/>
    <cellStyle name="SAPBEXexcCritical5 23" xfId="8256" xr:uid="{00000000-0005-0000-0000-0000C6200000}"/>
    <cellStyle name="SAPBEXexcCritical5 23 2" xfId="8257" xr:uid="{00000000-0005-0000-0000-0000C7200000}"/>
    <cellStyle name="SAPBEXexcCritical5 23 3" xfId="8258" xr:uid="{00000000-0005-0000-0000-0000C8200000}"/>
    <cellStyle name="SAPBEXexcCritical5 23 4" xfId="8259" xr:uid="{00000000-0005-0000-0000-0000C9200000}"/>
    <cellStyle name="SAPBEXexcCritical5 23 5" xfId="8260" xr:uid="{00000000-0005-0000-0000-0000CA200000}"/>
    <cellStyle name="SAPBEXexcCritical5 23 6" xfId="8261" xr:uid="{00000000-0005-0000-0000-0000CB200000}"/>
    <cellStyle name="SAPBEXexcCritical5 24" xfId="8262" xr:uid="{00000000-0005-0000-0000-0000CC200000}"/>
    <cellStyle name="SAPBEXexcCritical5 24 2" xfId="8263" xr:uid="{00000000-0005-0000-0000-0000CD200000}"/>
    <cellStyle name="SAPBEXexcCritical5 24 3" xfId="8264" xr:uid="{00000000-0005-0000-0000-0000CE200000}"/>
    <cellStyle name="SAPBEXexcCritical5 24 4" xfId="8265" xr:uid="{00000000-0005-0000-0000-0000CF200000}"/>
    <cellStyle name="SAPBEXexcCritical5 24 5" xfId="8266" xr:uid="{00000000-0005-0000-0000-0000D0200000}"/>
    <cellStyle name="SAPBEXexcCritical5 24 6" xfId="8267" xr:uid="{00000000-0005-0000-0000-0000D1200000}"/>
    <cellStyle name="SAPBEXexcCritical5 25" xfId="8268" xr:uid="{00000000-0005-0000-0000-0000D2200000}"/>
    <cellStyle name="SAPBEXexcCritical5 25 2" xfId="8269" xr:uid="{00000000-0005-0000-0000-0000D3200000}"/>
    <cellStyle name="SAPBEXexcCritical5 25 3" xfId="8270" xr:uid="{00000000-0005-0000-0000-0000D4200000}"/>
    <cellStyle name="SAPBEXexcCritical5 25 4" xfId="8271" xr:uid="{00000000-0005-0000-0000-0000D5200000}"/>
    <cellStyle name="SAPBEXexcCritical5 25 5" xfId="8272" xr:uid="{00000000-0005-0000-0000-0000D6200000}"/>
    <cellStyle name="SAPBEXexcCritical5 25 6" xfId="8273" xr:uid="{00000000-0005-0000-0000-0000D7200000}"/>
    <cellStyle name="SAPBEXexcCritical5 26" xfId="8274" xr:uid="{00000000-0005-0000-0000-0000D8200000}"/>
    <cellStyle name="SAPBEXexcCritical5 26 2" xfId="8275" xr:uid="{00000000-0005-0000-0000-0000D9200000}"/>
    <cellStyle name="SAPBEXexcCritical5 26 3" xfId="8276" xr:uid="{00000000-0005-0000-0000-0000DA200000}"/>
    <cellStyle name="SAPBEXexcCritical5 26 4" xfId="8277" xr:uid="{00000000-0005-0000-0000-0000DB200000}"/>
    <cellStyle name="SAPBEXexcCritical5 26 5" xfId="8278" xr:uid="{00000000-0005-0000-0000-0000DC200000}"/>
    <cellStyle name="SAPBEXexcCritical5 26 6" xfId="8279" xr:uid="{00000000-0005-0000-0000-0000DD200000}"/>
    <cellStyle name="SAPBEXexcCritical5 27" xfId="8280" xr:uid="{00000000-0005-0000-0000-0000DE200000}"/>
    <cellStyle name="SAPBEXexcCritical5 27 2" xfId="8281" xr:uid="{00000000-0005-0000-0000-0000DF200000}"/>
    <cellStyle name="SAPBEXexcCritical5 27 3" xfId="8282" xr:uid="{00000000-0005-0000-0000-0000E0200000}"/>
    <cellStyle name="SAPBEXexcCritical5 27 4" xfId="8283" xr:uid="{00000000-0005-0000-0000-0000E1200000}"/>
    <cellStyle name="SAPBEXexcCritical5 27 5" xfId="8284" xr:uid="{00000000-0005-0000-0000-0000E2200000}"/>
    <cellStyle name="SAPBEXexcCritical5 27 6" xfId="8285" xr:uid="{00000000-0005-0000-0000-0000E3200000}"/>
    <cellStyle name="SAPBEXexcCritical5 28" xfId="8286" xr:uid="{00000000-0005-0000-0000-0000E4200000}"/>
    <cellStyle name="SAPBEXexcCritical5 28 2" xfId="8287" xr:uid="{00000000-0005-0000-0000-0000E5200000}"/>
    <cellStyle name="SAPBEXexcCritical5 28 3" xfId="8288" xr:uid="{00000000-0005-0000-0000-0000E6200000}"/>
    <cellStyle name="SAPBEXexcCritical5 28 4" xfId="8289" xr:uid="{00000000-0005-0000-0000-0000E7200000}"/>
    <cellStyle name="SAPBEXexcCritical5 28 5" xfId="8290" xr:uid="{00000000-0005-0000-0000-0000E8200000}"/>
    <cellStyle name="SAPBEXexcCritical5 28 6" xfId="8291" xr:uid="{00000000-0005-0000-0000-0000E9200000}"/>
    <cellStyle name="SAPBEXexcCritical5 29" xfId="8292" xr:uid="{00000000-0005-0000-0000-0000EA200000}"/>
    <cellStyle name="SAPBEXexcCritical5 29 2" xfId="8293" xr:uid="{00000000-0005-0000-0000-0000EB200000}"/>
    <cellStyle name="SAPBEXexcCritical5 29 3" xfId="8294" xr:uid="{00000000-0005-0000-0000-0000EC200000}"/>
    <cellStyle name="SAPBEXexcCritical5 29 4" xfId="8295" xr:uid="{00000000-0005-0000-0000-0000ED200000}"/>
    <cellStyle name="SAPBEXexcCritical5 29 5" xfId="8296" xr:uid="{00000000-0005-0000-0000-0000EE200000}"/>
    <cellStyle name="SAPBEXexcCritical5 29 6" xfId="8297" xr:uid="{00000000-0005-0000-0000-0000EF200000}"/>
    <cellStyle name="SAPBEXexcCritical5 3" xfId="8298" xr:uid="{00000000-0005-0000-0000-0000F0200000}"/>
    <cellStyle name="SAPBEXexcCritical5 3 10" xfId="8299" xr:uid="{00000000-0005-0000-0000-0000F1200000}"/>
    <cellStyle name="SAPBEXexcCritical5 3 11" xfId="8300" xr:uid="{00000000-0005-0000-0000-0000F2200000}"/>
    <cellStyle name="SAPBEXexcCritical5 3 12" xfId="8301" xr:uid="{00000000-0005-0000-0000-0000F3200000}"/>
    <cellStyle name="SAPBEXexcCritical5 3 2" xfId="8302" xr:uid="{00000000-0005-0000-0000-0000F4200000}"/>
    <cellStyle name="SAPBEXexcCritical5 3 2 2" xfId="8303" xr:uid="{00000000-0005-0000-0000-0000F5200000}"/>
    <cellStyle name="SAPBEXexcCritical5 3 2 2 2" xfId="8304" xr:uid="{00000000-0005-0000-0000-0000F6200000}"/>
    <cellStyle name="SAPBEXexcCritical5 3 2 2 3" xfId="8305" xr:uid="{00000000-0005-0000-0000-0000F7200000}"/>
    <cellStyle name="SAPBEXexcCritical5 3 2 2 4" xfId="8306" xr:uid="{00000000-0005-0000-0000-0000F8200000}"/>
    <cellStyle name="SAPBEXexcCritical5 3 2 2 5" xfId="8307" xr:uid="{00000000-0005-0000-0000-0000F9200000}"/>
    <cellStyle name="SAPBEXexcCritical5 3 2 2 6" xfId="8308" xr:uid="{00000000-0005-0000-0000-0000FA200000}"/>
    <cellStyle name="SAPBEXexcCritical5 3 2 3" xfId="8309" xr:uid="{00000000-0005-0000-0000-0000FB200000}"/>
    <cellStyle name="SAPBEXexcCritical5 3 2 3 2" xfId="8310" xr:uid="{00000000-0005-0000-0000-0000FC200000}"/>
    <cellStyle name="SAPBEXexcCritical5 3 2 3 3" xfId="8311" xr:uid="{00000000-0005-0000-0000-0000FD200000}"/>
    <cellStyle name="SAPBEXexcCritical5 3 2 3 4" xfId="8312" xr:uid="{00000000-0005-0000-0000-0000FE200000}"/>
    <cellStyle name="SAPBEXexcCritical5 3 2 3 5" xfId="8313" xr:uid="{00000000-0005-0000-0000-0000FF200000}"/>
    <cellStyle name="SAPBEXexcCritical5 3 2 3 6" xfId="8314" xr:uid="{00000000-0005-0000-0000-000000210000}"/>
    <cellStyle name="SAPBEXexcCritical5 3 2 4" xfId="8315" xr:uid="{00000000-0005-0000-0000-000001210000}"/>
    <cellStyle name="SAPBEXexcCritical5 3 2 4 2" xfId="8316" xr:uid="{00000000-0005-0000-0000-000002210000}"/>
    <cellStyle name="SAPBEXexcCritical5 3 2 4 3" xfId="8317" xr:uid="{00000000-0005-0000-0000-000003210000}"/>
    <cellStyle name="SAPBEXexcCritical5 3 2 4 4" xfId="8318" xr:uid="{00000000-0005-0000-0000-000004210000}"/>
    <cellStyle name="SAPBEXexcCritical5 3 2 4 5" xfId="8319" xr:uid="{00000000-0005-0000-0000-000005210000}"/>
    <cellStyle name="SAPBEXexcCritical5 3 2 4 6" xfId="8320" xr:uid="{00000000-0005-0000-0000-000006210000}"/>
    <cellStyle name="SAPBEXexcCritical5 3 2 5" xfId="8321" xr:uid="{00000000-0005-0000-0000-000007210000}"/>
    <cellStyle name="SAPBEXexcCritical5 3 2 5 2" xfId="8322" xr:uid="{00000000-0005-0000-0000-000008210000}"/>
    <cellStyle name="SAPBEXexcCritical5 3 2 5 3" xfId="8323" xr:uid="{00000000-0005-0000-0000-000009210000}"/>
    <cellStyle name="SAPBEXexcCritical5 3 2 5 4" xfId="8324" xr:uid="{00000000-0005-0000-0000-00000A210000}"/>
    <cellStyle name="SAPBEXexcCritical5 3 2 5 5" xfId="8325" xr:uid="{00000000-0005-0000-0000-00000B210000}"/>
    <cellStyle name="SAPBEXexcCritical5 3 2 5 6" xfId="8326" xr:uid="{00000000-0005-0000-0000-00000C210000}"/>
    <cellStyle name="SAPBEXexcCritical5 3 2 6" xfId="8327" xr:uid="{00000000-0005-0000-0000-00000D210000}"/>
    <cellStyle name="SAPBEXexcCritical5 3 2 7" xfId="8328" xr:uid="{00000000-0005-0000-0000-00000E210000}"/>
    <cellStyle name="SAPBEXexcCritical5 3 2 8" xfId="8329" xr:uid="{00000000-0005-0000-0000-00000F210000}"/>
    <cellStyle name="SAPBEXexcCritical5 3 3" xfId="8330" xr:uid="{00000000-0005-0000-0000-000010210000}"/>
    <cellStyle name="SAPBEXexcCritical5 3 3 2" xfId="8331" xr:uid="{00000000-0005-0000-0000-000011210000}"/>
    <cellStyle name="SAPBEXexcCritical5 3 3 3" xfId="8332" xr:uid="{00000000-0005-0000-0000-000012210000}"/>
    <cellStyle name="SAPBEXexcCritical5 3 3 4" xfId="8333" xr:uid="{00000000-0005-0000-0000-000013210000}"/>
    <cellStyle name="SAPBEXexcCritical5 3 3 5" xfId="8334" xr:uid="{00000000-0005-0000-0000-000014210000}"/>
    <cellStyle name="SAPBEXexcCritical5 3 3 6" xfId="8335" xr:uid="{00000000-0005-0000-0000-000015210000}"/>
    <cellStyle name="SAPBEXexcCritical5 3 4" xfId="8336" xr:uid="{00000000-0005-0000-0000-000016210000}"/>
    <cellStyle name="SAPBEXexcCritical5 3 4 2" xfId="8337" xr:uid="{00000000-0005-0000-0000-000017210000}"/>
    <cellStyle name="SAPBEXexcCritical5 3 4 3" xfId="8338" xr:uid="{00000000-0005-0000-0000-000018210000}"/>
    <cellStyle name="SAPBEXexcCritical5 3 4 4" xfId="8339" xr:uid="{00000000-0005-0000-0000-000019210000}"/>
    <cellStyle name="SAPBEXexcCritical5 3 4 5" xfId="8340" xr:uid="{00000000-0005-0000-0000-00001A210000}"/>
    <cellStyle name="SAPBEXexcCritical5 3 4 6" xfId="8341" xr:uid="{00000000-0005-0000-0000-00001B210000}"/>
    <cellStyle name="SAPBEXexcCritical5 3 5" xfId="8342" xr:uid="{00000000-0005-0000-0000-00001C210000}"/>
    <cellStyle name="SAPBEXexcCritical5 3 5 2" xfId="8343" xr:uid="{00000000-0005-0000-0000-00001D210000}"/>
    <cellStyle name="SAPBEXexcCritical5 3 5 3" xfId="8344" xr:uid="{00000000-0005-0000-0000-00001E210000}"/>
    <cellStyle name="SAPBEXexcCritical5 3 5 4" xfId="8345" xr:uid="{00000000-0005-0000-0000-00001F210000}"/>
    <cellStyle name="SAPBEXexcCritical5 3 6" xfId="8346" xr:uid="{00000000-0005-0000-0000-000020210000}"/>
    <cellStyle name="SAPBEXexcCritical5 3 6 2" xfId="8347" xr:uid="{00000000-0005-0000-0000-000021210000}"/>
    <cellStyle name="SAPBEXexcCritical5 3 6 3" xfId="8348" xr:uid="{00000000-0005-0000-0000-000022210000}"/>
    <cellStyle name="SAPBEXexcCritical5 3 6 4" xfId="8349" xr:uid="{00000000-0005-0000-0000-000023210000}"/>
    <cellStyle name="SAPBEXexcCritical5 3 7" xfId="8350" xr:uid="{00000000-0005-0000-0000-000024210000}"/>
    <cellStyle name="SAPBEXexcCritical5 3 7 2" xfId="8351" xr:uid="{00000000-0005-0000-0000-000025210000}"/>
    <cellStyle name="SAPBEXexcCritical5 3 7 3" xfId="8352" xr:uid="{00000000-0005-0000-0000-000026210000}"/>
    <cellStyle name="SAPBEXexcCritical5 3 7 4" xfId="8353" xr:uid="{00000000-0005-0000-0000-000027210000}"/>
    <cellStyle name="SAPBEXexcCritical5 3 8" xfId="8354" xr:uid="{00000000-0005-0000-0000-000028210000}"/>
    <cellStyle name="SAPBEXexcCritical5 3 9" xfId="8355" xr:uid="{00000000-0005-0000-0000-000029210000}"/>
    <cellStyle name="SAPBEXexcCritical5 30" xfId="8356" xr:uid="{00000000-0005-0000-0000-00002A210000}"/>
    <cellStyle name="SAPBEXexcCritical5 30 2" xfId="8357" xr:uid="{00000000-0005-0000-0000-00002B210000}"/>
    <cellStyle name="SAPBEXexcCritical5 30 3" xfId="8358" xr:uid="{00000000-0005-0000-0000-00002C210000}"/>
    <cellStyle name="SAPBEXexcCritical5 30 4" xfId="8359" xr:uid="{00000000-0005-0000-0000-00002D210000}"/>
    <cellStyle name="SAPBEXexcCritical5 30 5" xfId="8360" xr:uid="{00000000-0005-0000-0000-00002E210000}"/>
    <cellStyle name="SAPBEXexcCritical5 30 6" xfId="8361" xr:uid="{00000000-0005-0000-0000-00002F210000}"/>
    <cellStyle name="SAPBEXexcCritical5 31" xfId="8362" xr:uid="{00000000-0005-0000-0000-000030210000}"/>
    <cellStyle name="SAPBEXexcCritical5 31 2" xfId="8363" xr:uid="{00000000-0005-0000-0000-000031210000}"/>
    <cellStyle name="SAPBEXexcCritical5 31 3" xfId="8364" xr:uid="{00000000-0005-0000-0000-000032210000}"/>
    <cellStyle name="SAPBEXexcCritical5 31 4" xfId="8365" xr:uid="{00000000-0005-0000-0000-000033210000}"/>
    <cellStyle name="SAPBEXexcCritical5 31 5" xfId="8366" xr:uid="{00000000-0005-0000-0000-000034210000}"/>
    <cellStyle name="SAPBEXexcCritical5 31 6" xfId="8367" xr:uid="{00000000-0005-0000-0000-000035210000}"/>
    <cellStyle name="SAPBEXexcCritical5 32" xfId="8368" xr:uid="{00000000-0005-0000-0000-000036210000}"/>
    <cellStyle name="SAPBEXexcCritical5 32 2" xfId="8369" xr:uid="{00000000-0005-0000-0000-000037210000}"/>
    <cellStyle name="SAPBEXexcCritical5 32 3" xfId="8370" xr:uid="{00000000-0005-0000-0000-000038210000}"/>
    <cellStyle name="SAPBEXexcCritical5 32 4" xfId="8371" xr:uid="{00000000-0005-0000-0000-000039210000}"/>
    <cellStyle name="SAPBEXexcCritical5 32 5" xfId="8372" xr:uid="{00000000-0005-0000-0000-00003A210000}"/>
    <cellStyle name="SAPBEXexcCritical5 32 6" xfId="8373" xr:uid="{00000000-0005-0000-0000-00003B210000}"/>
    <cellStyle name="SAPBEXexcCritical5 33" xfId="8374" xr:uid="{00000000-0005-0000-0000-00003C210000}"/>
    <cellStyle name="SAPBEXexcCritical5 34" xfId="8375" xr:uid="{00000000-0005-0000-0000-00003D210000}"/>
    <cellStyle name="SAPBEXexcCritical5 35" xfId="8376" xr:uid="{00000000-0005-0000-0000-00003E210000}"/>
    <cellStyle name="SAPBEXexcCritical5 36" xfId="27826" xr:uid="{00000000-0005-0000-0000-00003F210000}"/>
    <cellStyle name="SAPBEXexcCritical5 37" xfId="27911" xr:uid="{00000000-0005-0000-0000-000040210000}"/>
    <cellStyle name="SAPBEXexcCritical5 38" xfId="27976" xr:uid="{00000000-0005-0000-0000-000041210000}"/>
    <cellStyle name="SAPBEXexcCritical5 39" xfId="28011" xr:uid="{00000000-0005-0000-0000-000042210000}"/>
    <cellStyle name="SAPBEXexcCritical5 4" xfId="8377" xr:uid="{00000000-0005-0000-0000-000043210000}"/>
    <cellStyle name="SAPBEXexcCritical5 4 2" xfId="8378" xr:uid="{00000000-0005-0000-0000-000044210000}"/>
    <cellStyle name="SAPBEXexcCritical5 4 3" xfId="8379" xr:uid="{00000000-0005-0000-0000-000045210000}"/>
    <cellStyle name="SAPBEXexcCritical5 4 4" xfId="8380" xr:uid="{00000000-0005-0000-0000-000046210000}"/>
    <cellStyle name="SAPBEXexcCritical5 4 5" xfId="8381" xr:uid="{00000000-0005-0000-0000-000047210000}"/>
    <cellStyle name="SAPBEXexcCritical5 4 6" xfId="8382" xr:uid="{00000000-0005-0000-0000-000048210000}"/>
    <cellStyle name="SAPBEXexcCritical5 40" xfId="28149" xr:uid="{00000000-0005-0000-0000-000049210000}"/>
    <cellStyle name="SAPBEXexcCritical5 5" xfId="8383" xr:uid="{00000000-0005-0000-0000-00004A210000}"/>
    <cellStyle name="SAPBEXexcCritical5 5 2" xfId="8384" xr:uid="{00000000-0005-0000-0000-00004B210000}"/>
    <cellStyle name="SAPBEXexcCritical5 5 3" xfId="8385" xr:uid="{00000000-0005-0000-0000-00004C210000}"/>
    <cellStyle name="SAPBEXexcCritical5 5 4" xfId="8386" xr:uid="{00000000-0005-0000-0000-00004D210000}"/>
    <cellStyle name="SAPBEXexcCritical5 5 5" xfId="8387" xr:uid="{00000000-0005-0000-0000-00004E210000}"/>
    <cellStyle name="SAPBEXexcCritical5 5 6" xfId="8388" xr:uid="{00000000-0005-0000-0000-00004F210000}"/>
    <cellStyle name="SAPBEXexcCritical5 6" xfId="8389" xr:uid="{00000000-0005-0000-0000-000050210000}"/>
    <cellStyle name="SAPBEXexcCritical5 6 10" xfId="8390" xr:uid="{00000000-0005-0000-0000-000051210000}"/>
    <cellStyle name="SAPBEXexcCritical5 6 2" xfId="8391" xr:uid="{00000000-0005-0000-0000-000052210000}"/>
    <cellStyle name="SAPBEXexcCritical5 6 2 2" xfId="8392" xr:uid="{00000000-0005-0000-0000-000053210000}"/>
    <cellStyle name="SAPBEXexcCritical5 6 2 3" xfId="8393" xr:uid="{00000000-0005-0000-0000-000054210000}"/>
    <cellStyle name="SAPBEXexcCritical5 6 2 4" xfId="8394" xr:uid="{00000000-0005-0000-0000-000055210000}"/>
    <cellStyle name="SAPBEXexcCritical5 6 3" xfId="8395" xr:uid="{00000000-0005-0000-0000-000056210000}"/>
    <cellStyle name="SAPBEXexcCritical5 6 3 2" xfId="8396" xr:uid="{00000000-0005-0000-0000-000057210000}"/>
    <cellStyle name="SAPBEXexcCritical5 6 3 3" xfId="8397" xr:uid="{00000000-0005-0000-0000-000058210000}"/>
    <cellStyle name="SAPBEXexcCritical5 6 3 4" xfId="8398" xr:uid="{00000000-0005-0000-0000-000059210000}"/>
    <cellStyle name="SAPBEXexcCritical5 6 4" xfId="8399" xr:uid="{00000000-0005-0000-0000-00005A210000}"/>
    <cellStyle name="SAPBEXexcCritical5 6 4 2" xfId="8400" xr:uid="{00000000-0005-0000-0000-00005B210000}"/>
    <cellStyle name="SAPBEXexcCritical5 6 4 3" xfId="8401" xr:uid="{00000000-0005-0000-0000-00005C210000}"/>
    <cellStyle name="SAPBEXexcCritical5 6 4 4" xfId="8402" xr:uid="{00000000-0005-0000-0000-00005D210000}"/>
    <cellStyle name="SAPBEXexcCritical5 6 5" xfId="8403" xr:uid="{00000000-0005-0000-0000-00005E210000}"/>
    <cellStyle name="SAPBEXexcCritical5 6 5 2" xfId="8404" xr:uid="{00000000-0005-0000-0000-00005F210000}"/>
    <cellStyle name="SAPBEXexcCritical5 6 5 3" xfId="8405" xr:uid="{00000000-0005-0000-0000-000060210000}"/>
    <cellStyle name="SAPBEXexcCritical5 6 5 4" xfId="8406" xr:uid="{00000000-0005-0000-0000-000061210000}"/>
    <cellStyle name="SAPBEXexcCritical5 6 6" xfId="8407" xr:uid="{00000000-0005-0000-0000-000062210000}"/>
    <cellStyle name="SAPBEXexcCritical5 6 7" xfId="8408" xr:uid="{00000000-0005-0000-0000-000063210000}"/>
    <cellStyle name="SAPBEXexcCritical5 6 8" xfId="8409" xr:uid="{00000000-0005-0000-0000-000064210000}"/>
    <cellStyle name="SAPBEXexcCritical5 6 9" xfId="8410" xr:uid="{00000000-0005-0000-0000-000065210000}"/>
    <cellStyle name="SAPBEXexcCritical5 7" xfId="8411" xr:uid="{00000000-0005-0000-0000-000066210000}"/>
    <cellStyle name="SAPBEXexcCritical5 7 10" xfId="8412" xr:uid="{00000000-0005-0000-0000-000067210000}"/>
    <cellStyle name="SAPBEXexcCritical5 7 2" xfId="8413" xr:uid="{00000000-0005-0000-0000-000068210000}"/>
    <cellStyle name="SAPBEXexcCritical5 7 2 2" xfId="8414" xr:uid="{00000000-0005-0000-0000-000069210000}"/>
    <cellStyle name="SAPBEXexcCritical5 7 2 3" xfId="8415" xr:uid="{00000000-0005-0000-0000-00006A210000}"/>
    <cellStyle name="SAPBEXexcCritical5 7 2 4" xfId="8416" xr:uid="{00000000-0005-0000-0000-00006B210000}"/>
    <cellStyle name="SAPBEXexcCritical5 7 3" xfId="8417" xr:uid="{00000000-0005-0000-0000-00006C210000}"/>
    <cellStyle name="SAPBEXexcCritical5 7 3 2" xfId="8418" xr:uid="{00000000-0005-0000-0000-00006D210000}"/>
    <cellStyle name="SAPBEXexcCritical5 7 3 3" xfId="8419" xr:uid="{00000000-0005-0000-0000-00006E210000}"/>
    <cellStyle name="SAPBEXexcCritical5 7 3 4" xfId="8420" xr:uid="{00000000-0005-0000-0000-00006F210000}"/>
    <cellStyle name="SAPBEXexcCritical5 7 4" xfId="8421" xr:uid="{00000000-0005-0000-0000-000070210000}"/>
    <cellStyle name="SAPBEXexcCritical5 7 4 2" xfId="8422" xr:uid="{00000000-0005-0000-0000-000071210000}"/>
    <cellStyle name="SAPBEXexcCritical5 7 4 3" xfId="8423" xr:uid="{00000000-0005-0000-0000-000072210000}"/>
    <cellStyle name="SAPBEXexcCritical5 7 4 4" xfId="8424" xr:uid="{00000000-0005-0000-0000-000073210000}"/>
    <cellStyle name="SAPBEXexcCritical5 7 5" xfId="8425" xr:uid="{00000000-0005-0000-0000-000074210000}"/>
    <cellStyle name="SAPBEXexcCritical5 7 5 2" xfId="8426" xr:uid="{00000000-0005-0000-0000-000075210000}"/>
    <cellStyle name="SAPBEXexcCritical5 7 5 3" xfId="8427" xr:uid="{00000000-0005-0000-0000-000076210000}"/>
    <cellStyle name="SAPBEXexcCritical5 7 5 4" xfId="8428" xr:uid="{00000000-0005-0000-0000-000077210000}"/>
    <cellStyle name="SAPBEXexcCritical5 7 6" xfId="8429" xr:uid="{00000000-0005-0000-0000-000078210000}"/>
    <cellStyle name="SAPBEXexcCritical5 7 7" xfId="8430" xr:uid="{00000000-0005-0000-0000-000079210000}"/>
    <cellStyle name="SAPBEXexcCritical5 7 8" xfId="8431" xr:uid="{00000000-0005-0000-0000-00007A210000}"/>
    <cellStyle name="SAPBEXexcCritical5 7 9" xfId="8432" xr:uid="{00000000-0005-0000-0000-00007B210000}"/>
    <cellStyle name="SAPBEXexcCritical5 8" xfId="8433" xr:uid="{00000000-0005-0000-0000-00007C210000}"/>
    <cellStyle name="SAPBEXexcCritical5 8 2" xfId="8434" xr:uid="{00000000-0005-0000-0000-00007D210000}"/>
    <cellStyle name="SAPBEXexcCritical5 8 3" xfId="8435" xr:uid="{00000000-0005-0000-0000-00007E210000}"/>
    <cellStyle name="SAPBEXexcCritical5 8 4" xfId="8436" xr:uid="{00000000-0005-0000-0000-00007F210000}"/>
    <cellStyle name="SAPBEXexcCritical5 8 5" xfId="8437" xr:uid="{00000000-0005-0000-0000-000080210000}"/>
    <cellStyle name="SAPBEXexcCritical5 8 6" xfId="8438" xr:uid="{00000000-0005-0000-0000-000081210000}"/>
    <cellStyle name="SAPBEXexcCritical5 9" xfId="8439" xr:uid="{00000000-0005-0000-0000-000082210000}"/>
    <cellStyle name="SAPBEXexcCritical5 9 2" xfId="8440" xr:uid="{00000000-0005-0000-0000-000083210000}"/>
    <cellStyle name="SAPBEXexcCritical5 9 3" xfId="8441" xr:uid="{00000000-0005-0000-0000-000084210000}"/>
    <cellStyle name="SAPBEXexcCritical5 9 4" xfId="8442" xr:uid="{00000000-0005-0000-0000-000085210000}"/>
    <cellStyle name="SAPBEXexcCritical5 9 5" xfId="8443" xr:uid="{00000000-0005-0000-0000-000086210000}"/>
    <cellStyle name="SAPBEXexcCritical5 9 6" xfId="8444" xr:uid="{00000000-0005-0000-0000-000087210000}"/>
    <cellStyle name="SAPBEXexcCritical5_Receipts" xfId="8445" xr:uid="{00000000-0005-0000-0000-000088210000}"/>
    <cellStyle name="SAPBEXexcCritical6" xfId="8446" xr:uid="{00000000-0005-0000-0000-000089210000}"/>
    <cellStyle name="SAPBEXexcCritical6 10" xfId="8447" xr:uid="{00000000-0005-0000-0000-00008A210000}"/>
    <cellStyle name="SAPBEXexcCritical6 10 2" xfId="8448" xr:uid="{00000000-0005-0000-0000-00008B210000}"/>
    <cellStyle name="SAPBEXexcCritical6 10 3" xfId="8449" xr:uid="{00000000-0005-0000-0000-00008C210000}"/>
    <cellStyle name="SAPBEXexcCritical6 10 4" xfId="8450" xr:uid="{00000000-0005-0000-0000-00008D210000}"/>
    <cellStyle name="SAPBEXexcCritical6 10 5" xfId="8451" xr:uid="{00000000-0005-0000-0000-00008E210000}"/>
    <cellStyle name="SAPBEXexcCritical6 10 6" xfId="8452" xr:uid="{00000000-0005-0000-0000-00008F210000}"/>
    <cellStyle name="SAPBEXexcCritical6 11" xfId="8453" xr:uid="{00000000-0005-0000-0000-000090210000}"/>
    <cellStyle name="SAPBEXexcCritical6 11 2" xfId="8454" xr:uid="{00000000-0005-0000-0000-000091210000}"/>
    <cellStyle name="SAPBEXexcCritical6 11 3" xfId="8455" xr:uid="{00000000-0005-0000-0000-000092210000}"/>
    <cellStyle name="SAPBEXexcCritical6 11 4" xfId="8456" xr:uid="{00000000-0005-0000-0000-000093210000}"/>
    <cellStyle name="SAPBEXexcCritical6 11 5" xfId="8457" xr:uid="{00000000-0005-0000-0000-000094210000}"/>
    <cellStyle name="SAPBEXexcCritical6 11 6" xfId="8458" xr:uid="{00000000-0005-0000-0000-000095210000}"/>
    <cellStyle name="SAPBEXexcCritical6 12" xfId="8459" xr:uid="{00000000-0005-0000-0000-000096210000}"/>
    <cellStyle name="SAPBEXexcCritical6 12 2" xfId="8460" xr:uid="{00000000-0005-0000-0000-000097210000}"/>
    <cellStyle name="SAPBEXexcCritical6 12 3" xfId="8461" xr:uid="{00000000-0005-0000-0000-000098210000}"/>
    <cellStyle name="SAPBEXexcCritical6 12 4" xfId="8462" xr:uid="{00000000-0005-0000-0000-000099210000}"/>
    <cellStyle name="SAPBEXexcCritical6 12 5" xfId="8463" xr:uid="{00000000-0005-0000-0000-00009A210000}"/>
    <cellStyle name="SAPBEXexcCritical6 12 6" xfId="8464" xr:uid="{00000000-0005-0000-0000-00009B210000}"/>
    <cellStyle name="SAPBEXexcCritical6 13" xfId="8465" xr:uid="{00000000-0005-0000-0000-00009C210000}"/>
    <cellStyle name="SAPBEXexcCritical6 13 2" xfId="8466" xr:uid="{00000000-0005-0000-0000-00009D210000}"/>
    <cellStyle name="SAPBEXexcCritical6 13 3" xfId="8467" xr:uid="{00000000-0005-0000-0000-00009E210000}"/>
    <cellStyle name="SAPBEXexcCritical6 13 4" xfId="8468" xr:uid="{00000000-0005-0000-0000-00009F210000}"/>
    <cellStyle name="SAPBEXexcCritical6 13 5" xfId="8469" xr:uid="{00000000-0005-0000-0000-0000A0210000}"/>
    <cellStyle name="SAPBEXexcCritical6 13 6" xfId="8470" xr:uid="{00000000-0005-0000-0000-0000A1210000}"/>
    <cellStyle name="SAPBEXexcCritical6 14" xfId="8471" xr:uid="{00000000-0005-0000-0000-0000A2210000}"/>
    <cellStyle name="SAPBEXexcCritical6 14 2" xfId="8472" xr:uid="{00000000-0005-0000-0000-0000A3210000}"/>
    <cellStyle name="SAPBEXexcCritical6 14 3" xfId="8473" xr:uid="{00000000-0005-0000-0000-0000A4210000}"/>
    <cellStyle name="SAPBEXexcCritical6 14 4" xfId="8474" xr:uid="{00000000-0005-0000-0000-0000A5210000}"/>
    <cellStyle name="SAPBEXexcCritical6 14 5" xfId="8475" xr:uid="{00000000-0005-0000-0000-0000A6210000}"/>
    <cellStyle name="SAPBEXexcCritical6 14 6" xfId="8476" xr:uid="{00000000-0005-0000-0000-0000A7210000}"/>
    <cellStyle name="SAPBEXexcCritical6 15" xfId="8477" xr:uid="{00000000-0005-0000-0000-0000A8210000}"/>
    <cellStyle name="SAPBEXexcCritical6 15 2" xfId="8478" xr:uid="{00000000-0005-0000-0000-0000A9210000}"/>
    <cellStyle name="SAPBEXexcCritical6 15 3" xfId="8479" xr:uid="{00000000-0005-0000-0000-0000AA210000}"/>
    <cellStyle name="SAPBEXexcCritical6 15 4" xfId="8480" xr:uid="{00000000-0005-0000-0000-0000AB210000}"/>
    <cellStyle name="SAPBEXexcCritical6 15 5" xfId="8481" xr:uid="{00000000-0005-0000-0000-0000AC210000}"/>
    <cellStyle name="SAPBEXexcCritical6 15 6" xfId="8482" xr:uid="{00000000-0005-0000-0000-0000AD210000}"/>
    <cellStyle name="SAPBEXexcCritical6 16" xfId="8483" xr:uid="{00000000-0005-0000-0000-0000AE210000}"/>
    <cellStyle name="SAPBEXexcCritical6 16 2" xfId="8484" xr:uid="{00000000-0005-0000-0000-0000AF210000}"/>
    <cellStyle name="SAPBEXexcCritical6 16 3" xfId="8485" xr:uid="{00000000-0005-0000-0000-0000B0210000}"/>
    <cellStyle name="SAPBEXexcCritical6 16 4" xfId="8486" xr:uid="{00000000-0005-0000-0000-0000B1210000}"/>
    <cellStyle name="SAPBEXexcCritical6 16 5" xfId="8487" xr:uid="{00000000-0005-0000-0000-0000B2210000}"/>
    <cellStyle name="SAPBEXexcCritical6 16 6" xfId="8488" xr:uid="{00000000-0005-0000-0000-0000B3210000}"/>
    <cellStyle name="SAPBEXexcCritical6 17" xfId="8489" xr:uid="{00000000-0005-0000-0000-0000B4210000}"/>
    <cellStyle name="SAPBEXexcCritical6 17 2" xfId="8490" xr:uid="{00000000-0005-0000-0000-0000B5210000}"/>
    <cellStyle name="SAPBEXexcCritical6 17 3" xfId="8491" xr:uid="{00000000-0005-0000-0000-0000B6210000}"/>
    <cellStyle name="SAPBEXexcCritical6 17 4" xfId="8492" xr:uid="{00000000-0005-0000-0000-0000B7210000}"/>
    <cellStyle name="SAPBEXexcCritical6 17 5" xfId="8493" xr:uid="{00000000-0005-0000-0000-0000B8210000}"/>
    <cellStyle name="SAPBEXexcCritical6 17 6" xfId="8494" xr:uid="{00000000-0005-0000-0000-0000B9210000}"/>
    <cellStyle name="SAPBEXexcCritical6 18" xfId="8495" xr:uid="{00000000-0005-0000-0000-0000BA210000}"/>
    <cellStyle name="SAPBEXexcCritical6 18 2" xfId="8496" xr:uid="{00000000-0005-0000-0000-0000BB210000}"/>
    <cellStyle name="SAPBEXexcCritical6 18 3" xfId="8497" xr:uid="{00000000-0005-0000-0000-0000BC210000}"/>
    <cellStyle name="SAPBEXexcCritical6 18 4" xfId="8498" xr:uid="{00000000-0005-0000-0000-0000BD210000}"/>
    <cellStyle name="SAPBEXexcCritical6 18 5" xfId="8499" xr:uid="{00000000-0005-0000-0000-0000BE210000}"/>
    <cellStyle name="SAPBEXexcCritical6 18 6" xfId="8500" xr:uid="{00000000-0005-0000-0000-0000BF210000}"/>
    <cellStyle name="SAPBEXexcCritical6 19" xfId="8501" xr:uid="{00000000-0005-0000-0000-0000C0210000}"/>
    <cellStyle name="SAPBEXexcCritical6 19 2" xfId="8502" xr:uid="{00000000-0005-0000-0000-0000C1210000}"/>
    <cellStyle name="SAPBEXexcCritical6 19 3" xfId="8503" xr:uid="{00000000-0005-0000-0000-0000C2210000}"/>
    <cellStyle name="SAPBEXexcCritical6 19 4" xfId="8504" xr:uid="{00000000-0005-0000-0000-0000C3210000}"/>
    <cellStyle name="SAPBEXexcCritical6 19 5" xfId="8505" xr:uid="{00000000-0005-0000-0000-0000C4210000}"/>
    <cellStyle name="SAPBEXexcCritical6 19 6" xfId="8506" xr:uid="{00000000-0005-0000-0000-0000C5210000}"/>
    <cellStyle name="SAPBEXexcCritical6 2" xfId="8507" xr:uid="{00000000-0005-0000-0000-0000C6210000}"/>
    <cellStyle name="SAPBEXexcCritical6 2 10" xfId="8508" xr:uid="{00000000-0005-0000-0000-0000C7210000}"/>
    <cellStyle name="SAPBEXexcCritical6 2 10 2" xfId="8509" xr:uid="{00000000-0005-0000-0000-0000C8210000}"/>
    <cellStyle name="SAPBEXexcCritical6 2 10 3" xfId="8510" xr:uid="{00000000-0005-0000-0000-0000C9210000}"/>
    <cellStyle name="SAPBEXexcCritical6 2 10 4" xfId="8511" xr:uid="{00000000-0005-0000-0000-0000CA210000}"/>
    <cellStyle name="SAPBEXexcCritical6 2 11" xfId="8512" xr:uid="{00000000-0005-0000-0000-0000CB210000}"/>
    <cellStyle name="SAPBEXexcCritical6 2 11 2" xfId="8513" xr:uid="{00000000-0005-0000-0000-0000CC210000}"/>
    <cellStyle name="SAPBEXexcCritical6 2 11 3" xfId="8514" xr:uid="{00000000-0005-0000-0000-0000CD210000}"/>
    <cellStyle name="SAPBEXexcCritical6 2 11 4" xfId="8515" xr:uid="{00000000-0005-0000-0000-0000CE210000}"/>
    <cellStyle name="SAPBEXexcCritical6 2 12" xfId="8516" xr:uid="{00000000-0005-0000-0000-0000CF210000}"/>
    <cellStyle name="SAPBEXexcCritical6 2 12 2" xfId="8517" xr:uid="{00000000-0005-0000-0000-0000D0210000}"/>
    <cellStyle name="SAPBEXexcCritical6 2 12 3" xfId="8518" xr:uid="{00000000-0005-0000-0000-0000D1210000}"/>
    <cellStyle name="SAPBEXexcCritical6 2 12 4" xfId="8519" xr:uid="{00000000-0005-0000-0000-0000D2210000}"/>
    <cellStyle name="SAPBEXexcCritical6 2 13" xfId="8520" xr:uid="{00000000-0005-0000-0000-0000D3210000}"/>
    <cellStyle name="SAPBEXexcCritical6 2 13 2" xfId="8521" xr:uid="{00000000-0005-0000-0000-0000D4210000}"/>
    <cellStyle name="SAPBEXexcCritical6 2 13 3" xfId="8522" xr:uid="{00000000-0005-0000-0000-0000D5210000}"/>
    <cellStyle name="SAPBEXexcCritical6 2 13 4" xfId="8523" xr:uid="{00000000-0005-0000-0000-0000D6210000}"/>
    <cellStyle name="SAPBEXexcCritical6 2 14" xfId="8524" xr:uid="{00000000-0005-0000-0000-0000D7210000}"/>
    <cellStyle name="SAPBEXexcCritical6 2 15" xfId="8525" xr:uid="{00000000-0005-0000-0000-0000D8210000}"/>
    <cellStyle name="SAPBEXexcCritical6 2 16" xfId="8526" xr:uid="{00000000-0005-0000-0000-0000D9210000}"/>
    <cellStyle name="SAPBEXexcCritical6 2 17" xfId="8527" xr:uid="{00000000-0005-0000-0000-0000DA210000}"/>
    <cellStyle name="SAPBEXexcCritical6 2 18" xfId="8528" xr:uid="{00000000-0005-0000-0000-0000DB210000}"/>
    <cellStyle name="SAPBEXexcCritical6 2 2" xfId="8529" xr:uid="{00000000-0005-0000-0000-0000DC210000}"/>
    <cellStyle name="SAPBEXexcCritical6 2 2 2" xfId="8530" xr:uid="{00000000-0005-0000-0000-0000DD210000}"/>
    <cellStyle name="SAPBEXexcCritical6 2 2 2 2" xfId="8531" xr:uid="{00000000-0005-0000-0000-0000DE210000}"/>
    <cellStyle name="SAPBEXexcCritical6 2 2 2 3" xfId="8532" xr:uid="{00000000-0005-0000-0000-0000DF210000}"/>
    <cellStyle name="SAPBEXexcCritical6 2 2 2 4" xfId="8533" xr:uid="{00000000-0005-0000-0000-0000E0210000}"/>
    <cellStyle name="SAPBEXexcCritical6 2 2 2 5" xfId="8534" xr:uid="{00000000-0005-0000-0000-0000E1210000}"/>
    <cellStyle name="SAPBEXexcCritical6 2 2 2 6" xfId="8535" xr:uid="{00000000-0005-0000-0000-0000E2210000}"/>
    <cellStyle name="SAPBEXexcCritical6 2 2 3" xfId="8536" xr:uid="{00000000-0005-0000-0000-0000E3210000}"/>
    <cellStyle name="SAPBEXexcCritical6 2 2 3 2" xfId="8537" xr:uid="{00000000-0005-0000-0000-0000E4210000}"/>
    <cellStyle name="SAPBEXexcCritical6 2 2 3 3" xfId="8538" xr:uid="{00000000-0005-0000-0000-0000E5210000}"/>
    <cellStyle name="SAPBEXexcCritical6 2 2 3 4" xfId="8539" xr:uid="{00000000-0005-0000-0000-0000E6210000}"/>
    <cellStyle name="SAPBEXexcCritical6 2 2 3 5" xfId="8540" xr:uid="{00000000-0005-0000-0000-0000E7210000}"/>
    <cellStyle name="SAPBEXexcCritical6 2 2 3 6" xfId="8541" xr:uid="{00000000-0005-0000-0000-0000E8210000}"/>
    <cellStyle name="SAPBEXexcCritical6 2 2 4" xfId="8542" xr:uid="{00000000-0005-0000-0000-0000E9210000}"/>
    <cellStyle name="SAPBEXexcCritical6 2 2 4 2" xfId="8543" xr:uid="{00000000-0005-0000-0000-0000EA210000}"/>
    <cellStyle name="SAPBEXexcCritical6 2 2 4 3" xfId="8544" xr:uid="{00000000-0005-0000-0000-0000EB210000}"/>
    <cellStyle name="SAPBEXexcCritical6 2 2 4 4" xfId="8545" xr:uid="{00000000-0005-0000-0000-0000EC210000}"/>
    <cellStyle name="SAPBEXexcCritical6 2 2 4 5" xfId="8546" xr:uid="{00000000-0005-0000-0000-0000ED210000}"/>
    <cellStyle name="SAPBEXexcCritical6 2 2 4 6" xfId="8547" xr:uid="{00000000-0005-0000-0000-0000EE210000}"/>
    <cellStyle name="SAPBEXexcCritical6 2 2 5" xfId="8548" xr:uid="{00000000-0005-0000-0000-0000EF210000}"/>
    <cellStyle name="SAPBEXexcCritical6 2 2 5 2" xfId="8549" xr:uid="{00000000-0005-0000-0000-0000F0210000}"/>
    <cellStyle name="SAPBEXexcCritical6 2 2 5 3" xfId="8550" xr:uid="{00000000-0005-0000-0000-0000F1210000}"/>
    <cellStyle name="SAPBEXexcCritical6 2 2 5 4" xfId="8551" xr:uid="{00000000-0005-0000-0000-0000F2210000}"/>
    <cellStyle name="SAPBEXexcCritical6 2 2 5 5" xfId="8552" xr:uid="{00000000-0005-0000-0000-0000F3210000}"/>
    <cellStyle name="SAPBEXexcCritical6 2 2 5 6" xfId="8553" xr:uid="{00000000-0005-0000-0000-0000F4210000}"/>
    <cellStyle name="SAPBEXexcCritical6 2 2 6" xfId="8554" xr:uid="{00000000-0005-0000-0000-0000F5210000}"/>
    <cellStyle name="SAPBEXexcCritical6 2 2 7" xfId="8555" xr:uid="{00000000-0005-0000-0000-0000F6210000}"/>
    <cellStyle name="SAPBEXexcCritical6 2 2 8" xfId="8556" xr:uid="{00000000-0005-0000-0000-0000F7210000}"/>
    <cellStyle name="SAPBEXexcCritical6 2 3" xfId="8557" xr:uid="{00000000-0005-0000-0000-0000F8210000}"/>
    <cellStyle name="SAPBEXexcCritical6 2 3 2" xfId="8558" xr:uid="{00000000-0005-0000-0000-0000F9210000}"/>
    <cellStyle name="SAPBEXexcCritical6 2 3 2 2" xfId="8559" xr:uid="{00000000-0005-0000-0000-0000FA210000}"/>
    <cellStyle name="SAPBEXexcCritical6 2 3 2 3" xfId="8560" xr:uid="{00000000-0005-0000-0000-0000FB210000}"/>
    <cellStyle name="SAPBEXexcCritical6 2 3 2 4" xfId="8561" xr:uid="{00000000-0005-0000-0000-0000FC210000}"/>
    <cellStyle name="SAPBEXexcCritical6 2 3 2 5" xfId="8562" xr:uid="{00000000-0005-0000-0000-0000FD210000}"/>
    <cellStyle name="SAPBEXexcCritical6 2 3 2 6" xfId="8563" xr:uid="{00000000-0005-0000-0000-0000FE210000}"/>
    <cellStyle name="SAPBEXexcCritical6 2 3 3" xfId="8564" xr:uid="{00000000-0005-0000-0000-0000FF210000}"/>
    <cellStyle name="SAPBEXexcCritical6 2 3 3 2" xfId="8565" xr:uid="{00000000-0005-0000-0000-000000220000}"/>
    <cellStyle name="SAPBEXexcCritical6 2 3 3 3" xfId="8566" xr:uid="{00000000-0005-0000-0000-000001220000}"/>
    <cellStyle name="SAPBEXexcCritical6 2 3 3 4" xfId="8567" xr:uid="{00000000-0005-0000-0000-000002220000}"/>
    <cellStyle name="SAPBEXexcCritical6 2 3 3 5" xfId="8568" xr:uid="{00000000-0005-0000-0000-000003220000}"/>
    <cellStyle name="SAPBEXexcCritical6 2 3 3 6" xfId="8569" xr:uid="{00000000-0005-0000-0000-000004220000}"/>
    <cellStyle name="SAPBEXexcCritical6 2 3 4" xfId="8570" xr:uid="{00000000-0005-0000-0000-000005220000}"/>
    <cellStyle name="SAPBEXexcCritical6 2 3 4 2" xfId="8571" xr:uid="{00000000-0005-0000-0000-000006220000}"/>
    <cellStyle name="SAPBEXexcCritical6 2 3 4 3" xfId="8572" xr:uid="{00000000-0005-0000-0000-000007220000}"/>
    <cellStyle name="SAPBEXexcCritical6 2 3 4 4" xfId="8573" xr:uid="{00000000-0005-0000-0000-000008220000}"/>
    <cellStyle name="SAPBEXexcCritical6 2 3 4 5" xfId="8574" xr:uid="{00000000-0005-0000-0000-000009220000}"/>
    <cellStyle name="SAPBEXexcCritical6 2 3 4 6" xfId="8575" xr:uid="{00000000-0005-0000-0000-00000A220000}"/>
    <cellStyle name="SAPBEXexcCritical6 2 3 5" xfId="8576" xr:uid="{00000000-0005-0000-0000-00000B220000}"/>
    <cellStyle name="SAPBEXexcCritical6 2 3 5 2" xfId="8577" xr:uid="{00000000-0005-0000-0000-00000C220000}"/>
    <cellStyle name="SAPBEXexcCritical6 2 3 5 3" xfId="8578" xr:uid="{00000000-0005-0000-0000-00000D220000}"/>
    <cellStyle name="SAPBEXexcCritical6 2 3 5 4" xfId="8579" xr:uid="{00000000-0005-0000-0000-00000E220000}"/>
    <cellStyle name="SAPBEXexcCritical6 2 3 5 5" xfId="8580" xr:uid="{00000000-0005-0000-0000-00000F220000}"/>
    <cellStyle name="SAPBEXexcCritical6 2 3 5 6" xfId="8581" xr:uid="{00000000-0005-0000-0000-000010220000}"/>
    <cellStyle name="SAPBEXexcCritical6 2 3 6" xfId="8582" xr:uid="{00000000-0005-0000-0000-000011220000}"/>
    <cellStyle name="SAPBEXexcCritical6 2 3 7" xfId="8583" xr:uid="{00000000-0005-0000-0000-000012220000}"/>
    <cellStyle name="SAPBEXexcCritical6 2 3 8" xfId="8584" xr:uid="{00000000-0005-0000-0000-000013220000}"/>
    <cellStyle name="SAPBEXexcCritical6 2 4" xfId="8585" xr:uid="{00000000-0005-0000-0000-000014220000}"/>
    <cellStyle name="SAPBEXexcCritical6 2 4 2" xfId="8586" xr:uid="{00000000-0005-0000-0000-000015220000}"/>
    <cellStyle name="SAPBEXexcCritical6 2 4 2 2" xfId="8587" xr:uid="{00000000-0005-0000-0000-000016220000}"/>
    <cellStyle name="SAPBEXexcCritical6 2 4 2 3" xfId="8588" xr:uid="{00000000-0005-0000-0000-000017220000}"/>
    <cellStyle name="SAPBEXexcCritical6 2 4 2 4" xfId="8589" xr:uid="{00000000-0005-0000-0000-000018220000}"/>
    <cellStyle name="SAPBEXexcCritical6 2 4 2 5" xfId="8590" xr:uid="{00000000-0005-0000-0000-000019220000}"/>
    <cellStyle name="SAPBEXexcCritical6 2 4 2 6" xfId="8591" xr:uid="{00000000-0005-0000-0000-00001A220000}"/>
    <cellStyle name="SAPBEXexcCritical6 2 4 3" xfId="8592" xr:uid="{00000000-0005-0000-0000-00001B220000}"/>
    <cellStyle name="SAPBEXexcCritical6 2 4 3 2" xfId="8593" xr:uid="{00000000-0005-0000-0000-00001C220000}"/>
    <cellStyle name="SAPBEXexcCritical6 2 4 3 3" xfId="8594" xr:uid="{00000000-0005-0000-0000-00001D220000}"/>
    <cellStyle name="SAPBEXexcCritical6 2 4 3 4" xfId="8595" xr:uid="{00000000-0005-0000-0000-00001E220000}"/>
    <cellStyle name="SAPBEXexcCritical6 2 4 3 5" xfId="8596" xr:uid="{00000000-0005-0000-0000-00001F220000}"/>
    <cellStyle name="SAPBEXexcCritical6 2 4 3 6" xfId="8597" xr:uid="{00000000-0005-0000-0000-000020220000}"/>
    <cellStyle name="SAPBEXexcCritical6 2 4 4" xfId="8598" xr:uid="{00000000-0005-0000-0000-000021220000}"/>
    <cellStyle name="SAPBEXexcCritical6 2 4 4 2" xfId="8599" xr:uid="{00000000-0005-0000-0000-000022220000}"/>
    <cellStyle name="SAPBEXexcCritical6 2 4 4 3" xfId="8600" xr:uid="{00000000-0005-0000-0000-000023220000}"/>
    <cellStyle name="SAPBEXexcCritical6 2 4 4 4" xfId="8601" xr:uid="{00000000-0005-0000-0000-000024220000}"/>
    <cellStyle name="SAPBEXexcCritical6 2 4 4 5" xfId="8602" xr:uid="{00000000-0005-0000-0000-000025220000}"/>
    <cellStyle name="SAPBEXexcCritical6 2 4 4 6" xfId="8603" xr:uid="{00000000-0005-0000-0000-000026220000}"/>
    <cellStyle name="SAPBEXexcCritical6 2 4 5" xfId="8604" xr:uid="{00000000-0005-0000-0000-000027220000}"/>
    <cellStyle name="SAPBEXexcCritical6 2 4 5 2" xfId="8605" xr:uid="{00000000-0005-0000-0000-000028220000}"/>
    <cellStyle name="SAPBEXexcCritical6 2 4 5 3" xfId="8606" xr:uid="{00000000-0005-0000-0000-000029220000}"/>
    <cellStyle name="SAPBEXexcCritical6 2 4 5 4" xfId="8607" xr:uid="{00000000-0005-0000-0000-00002A220000}"/>
    <cellStyle name="SAPBEXexcCritical6 2 4 5 5" xfId="8608" xr:uid="{00000000-0005-0000-0000-00002B220000}"/>
    <cellStyle name="SAPBEXexcCritical6 2 4 5 6" xfId="8609" xr:uid="{00000000-0005-0000-0000-00002C220000}"/>
    <cellStyle name="SAPBEXexcCritical6 2 4 6" xfId="8610" xr:uid="{00000000-0005-0000-0000-00002D220000}"/>
    <cellStyle name="SAPBEXexcCritical6 2 4 7" xfId="8611" xr:uid="{00000000-0005-0000-0000-00002E220000}"/>
    <cellStyle name="SAPBEXexcCritical6 2 4 8" xfId="8612" xr:uid="{00000000-0005-0000-0000-00002F220000}"/>
    <cellStyle name="SAPBEXexcCritical6 2 5" xfId="8613" xr:uid="{00000000-0005-0000-0000-000030220000}"/>
    <cellStyle name="SAPBEXexcCritical6 2 5 2" xfId="8614" xr:uid="{00000000-0005-0000-0000-000031220000}"/>
    <cellStyle name="SAPBEXexcCritical6 2 5 3" xfId="8615" xr:uid="{00000000-0005-0000-0000-000032220000}"/>
    <cellStyle name="SAPBEXexcCritical6 2 5 4" xfId="8616" xr:uid="{00000000-0005-0000-0000-000033220000}"/>
    <cellStyle name="SAPBEXexcCritical6 2 6" xfId="8617" xr:uid="{00000000-0005-0000-0000-000034220000}"/>
    <cellStyle name="SAPBEXexcCritical6 2 6 2" xfId="8618" xr:uid="{00000000-0005-0000-0000-000035220000}"/>
    <cellStyle name="SAPBEXexcCritical6 2 6 3" xfId="8619" xr:uid="{00000000-0005-0000-0000-000036220000}"/>
    <cellStyle name="SAPBEXexcCritical6 2 6 4" xfId="8620" xr:uid="{00000000-0005-0000-0000-000037220000}"/>
    <cellStyle name="SAPBEXexcCritical6 2 7" xfId="8621" xr:uid="{00000000-0005-0000-0000-000038220000}"/>
    <cellStyle name="SAPBEXexcCritical6 2 7 2" xfId="8622" xr:uid="{00000000-0005-0000-0000-000039220000}"/>
    <cellStyle name="SAPBEXexcCritical6 2 7 3" xfId="8623" xr:uid="{00000000-0005-0000-0000-00003A220000}"/>
    <cellStyle name="SAPBEXexcCritical6 2 7 4" xfId="8624" xr:uid="{00000000-0005-0000-0000-00003B220000}"/>
    <cellStyle name="SAPBEXexcCritical6 2 8" xfId="8625" xr:uid="{00000000-0005-0000-0000-00003C220000}"/>
    <cellStyle name="SAPBEXexcCritical6 2 8 2" xfId="8626" xr:uid="{00000000-0005-0000-0000-00003D220000}"/>
    <cellStyle name="SAPBEXexcCritical6 2 8 3" xfId="8627" xr:uid="{00000000-0005-0000-0000-00003E220000}"/>
    <cellStyle name="SAPBEXexcCritical6 2 8 4" xfId="8628" xr:uid="{00000000-0005-0000-0000-00003F220000}"/>
    <cellStyle name="SAPBEXexcCritical6 2 9" xfId="8629" xr:uid="{00000000-0005-0000-0000-000040220000}"/>
    <cellStyle name="SAPBEXexcCritical6 2 9 2" xfId="8630" xr:uid="{00000000-0005-0000-0000-000041220000}"/>
    <cellStyle name="SAPBEXexcCritical6 2 9 3" xfId="8631" xr:uid="{00000000-0005-0000-0000-000042220000}"/>
    <cellStyle name="SAPBEXexcCritical6 2 9 4" xfId="8632" xr:uid="{00000000-0005-0000-0000-000043220000}"/>
    <cellStyle name="SAPBEXexcCritical6 20" xfId="8633" xr:uid="{00000000-0005-0000-0000-000044220000}"/>
    <cellStyle name="SAPBEXexcCritical6 20 2" xfId="8634" xr:uid="{00000000-0005-0000-0000-000045220000}"/>
    <cellStyle name="SAPBEXexcCritical6 20 3" xfId="8635" xr:uid="{00000000-0005-0000-0000-000046220000}"/>
    <cellStyle name="SAPBEXexcCritical6 20 4" xfId="8636" xr:uid="{00000000-0005-0000-0000-000047220000}"/>
    <cellStyle name="SAPBEXexcCritical6 20 5" xfId="8637" xr:uid="{00000000-0005-0000-0000-000048220000}"/>
    <cellStyle name="SAPBEXexcCritical6 20 6" xfId="8638" xr:uid="{00000000-0005-0000-0000-000049220000}"/>
    <cellStyle name="SAPBEXexcCritical6 21" xfId="8639" xr:uid="{00000000-0005-0000-0000-00004A220000}"/>
    <cellStyle name="SAPBEXexcCritical6 21 2" xfId="8640" xr:uid="{00000000-0005-0000-0000-00004B220000}"/>
    <cellStyle name="SAPBEXexcCritical6 21 3" xfId="8641" xr:uid="{00000000-0005-0000-0000-00004C220000}"/>
    <cellStyle name="SAPBEXexcCritical6 21 4" xfId="8642" xr:uid="{00000000-0005-0000-0000-00004D220000}"/>
    <cellStyle name="SAPBEXexcCritical6 21 5" xfId="8643" xr:uid="{00000000-0005-0000-0000-00004E220000}"/>
    <cellStyle name="SAPBEXexcCritical6 21 6" xfId="8644" xr:uid="{00000000-0005-0000-0000-00004F220000}"/>
    <cellStyle name="SAPBEXexcCritical6 22" xfId="8645" xr:uid="{00000000-0005-0000-0000-000050220000}"/>
    <cellStyle name="SAPBEXexcCritical6 22 2" xfId="8646" xr:uid="{00000000-0005-0000-0000-000051220000}"/>
    <cellStyle name="SAPBEXexcCritical6 22 3" xfId="8647" xr:uid="{00000000-0005-0000-0000-000052220000}"/>
    <cellStyle name="SAPBEXexcCritical6 22 4" xfId="8648" xr:uid="{00000000-0005-0000-0000-000053220000}"/>
    <cellStyle name="SAPBEXexcCritical6 22 5" xfId="8649" xr:uid="{00000000-0005-0000-0000-000054220000}"/>
    <cellStyle name="SAPBEXexcCritical6 22 6" xfId="8650" xr:uid="{00000000-0005-0000-0000-000055220000}"/>
    <cellStyle name="SAPBEXexcCritical6 23" xfId="8651" xr:uid="{00000000-0005-0000-0000-000056220000}"/>
    <cellStyle name="SAPBEXexcCritical6 23 2" xfId="8652" xr:uid="{00000000-0005-0000-0000-000057220000}"/>
    <cellStyle name="SAPBEXexcCritical6 23 3" xfId="8653" xr:uid="{00000000-0005-0000-0000-000058220000}"/>
    <cellStyle name="SAPBEXexcCritical6 23 4" xfId="8654" xr:uid="{00000000-0005-0000-0000-000059220000}"/>
    <cellStyle name="SAPBEXexcCritical6 23 5" xfId="8655" xr:uid="{00000000-0005-0000-0000-00005A220000}"/>
    <cellStyle name="SAPBEXexcCritical6 23 6" xfId="8656" xr:uid="{00000000-0005-0000-0000-00005B220000}"/>
    <cellStyle name="SAPBEXexcCritical6 24" xfId="8657" xr:uid="{00000000-0005-0000-0000-00005C220000}"/>
    <cellStyle name="SAPBEXexcCritical6 24 2" xfId="8658" xr:uid="{00000000-0005-0000-0000-00005D220000}"/>
    <cellStyle name="SAPBEXexcCritical6 24 3" xfId="8659" xr:uid="{00000000-0005-0000-0000-00005E220000}"/>
    <cellStyle name="SAPBEXexcCritical6 24 4" xfId="8660" xr:uid="{00000000-0005-0000-0000-00005F220000}"/>
    <cellStyle name="SAPBEXexcCritical6 24 5" xfId="8661" xr:uid="{00000000-0005-0000-0000-000060220000}"/>
    <cellStyle name="SAPBEXexcCritical6 24 6" xfId="8662" xr:uid="{00000000-0005-0000-0000-000061220000}"/>
    <cellStyle name="SAPBEXexcCritical6 25" xfId="8663" xr:uid="{00000000-0005-0000-0000-000062220000}"/>
    <cellStyle name="SAPBEXexcCritical6 25 2" xfId="8664" xr:uid="{00000000-0005-0000-0000-000063220000}"/>
    <cellStyle name="SAPBEXexcCritical6 25 3" xfId="8665" xr:uid="{00000000-0005-0000-0000-000064220000}"/>
    <cellStyle name="SAPBEXexcCritical6 25 4" xfId="8666" xr:uid="{00000000-0005-0000-0000-000065220000}"/>
    <cellStyle name="SAPBEXexcCritical6 25 5" xfId="8667" xr:uid="{00000000-0005-0000-0000-000066220000}"/>
    <cellStyle name="SAPBEXexcCritical6 25 6" xfId="8668" xr:uid="{00000000-0005-0000-0000-000067220000}"/>
    <cellStyle name="SAPBEXexcCritical6 26" xfId="8669" xr:uid="{00000000-0005-0000-0000-000068220000}"/>
    <cellStyle name="SAPBEXexcCritical6 26 2" xfId="8670" xr:uid="{00000000-0005-0000-0000-000069220000}"/>
    <cellStyle name="SAPBEXexcCritical6 26 3" xfId="8671" xr:uid="{00000000-0005-0000-0000-00006A220000}"/>
    <cellStyle name="SAPBEXexcCritical6 26 4" xfId="8672" xr:uid="{00000000-0005-0000-0000-00006B220000}"/>
    <cellStyle name="SAPBEXexcCritical6 26 5" xfId="8673" xr:uid="{00000000-0005-0000-0000-00006C220000}"/>
    <cellStyle name="SAPBEXexcCritical6 26 6" xfId="8674" xr:uid="{00000000-0005-0000-0000-00006D220000}"/>
    <cellStyle name="SAPBEXexcCritical6 27" xfId="8675" xr:uid="{00000000-0005-0000-0000-00006E220000}"/>
    <cellStyle name="SAPBEXexcCritical6 27 2" xfId="8676" xr:uid="{00000000-0005-0000-0000-00006F220000}"/>
    <cellStyle name="SAPBEXexcCritical6 27 3" xfId="8677" xr:uid="{00000000-0005-0000-0000-000070220000}"/>
    <cellStyle name="SAPBEXexcCritical6 27 4" xfId="8678" xr:uid="{00000000-0005-0000-0000-000071220000}"/>
    <cellStyle name="SAPBEXexcCritical6 27 5" xfId="8679" xr:uid="{00000000-0005-0000-0000-000072220000}"/>
    <cellStyle name="SAPBEXexcCritical6 27 6" xfId="8680" xr:uid="{00000000-0005-0000-0000-000073220000}"/>
    <cellStyle name="SAPBEXexcCritical6 28" xfId="8681" xr:uid="{00000000-0005-0000-0000-000074220000}"/>
    <cellStyle name="SAPBEXexcCritical6 28 2" xfId="8682" xr:uid="{00000000-0005-0000-0000-000075220000}"/>
    <cellStyle name="SAPBEXexcCritical6 28 3" xfId="8683" xr:uid="{00000000-0005-0000-0000-000076220000}"/>
    <cellStyle name="SAPBEXexcCritical6 28 4" xfId="8684" xr:uid="{00000000-0005-0000-0000-000077220000}"/>
    <cellStyle name="SAPBEXexcCritical6 28 5" xfId="8685" xr:uid="{00000000-0005-0000-0000-000078220000}"/>
    <cellStyle name="SAPBEXexcCritical6 28 6" xfId="8686" xr:uid="{00000000-0005-0000-0000-000079220000}"/>
    <cellStyle name="SAPBEXexcCritical6 29" xfId="8687" xr:uid="{00000000-0005-0000-0000-00007A220000}"/>
    <cellStyle name="SAPBEXexcCritical6 29 2" xfId="8688" xr:uid="{00000000-0005-0000-0000-00007B220000}"/>
    <cellStyle name="SAPBEXexcCritical6 29 3" xfId="8689" xr:uid="{00000000-0005-0000-0000-00007C220000}"/>
    <cellStyle name="SAPBEXexcCritical6 29 4" xfId="8690" xr:uid="{00000000-0005-0000-0000-00007D220000}"/>
    <cellStyle name="SAPBEXexcCritical6 29 5" xfId="8691" xr:uid="{00000000-0005-0000-0000-00007E220000}"/>
    <cellStyle name="SAPBEXexcCritical6 29 6" xfId="8692" xr:uid="{00000000-0005-0000-0000-00007F220000}"/>
    <cellStyle name="SAPBEXexcCritical6 3" xfId="8693" xr:uid="{00000000-0005-0000-0000-000080220000}"/>
    <cellStyle name="SAPBEXexcCritical6 3 10" xfId="8694" xr:uid="{00000000-0005-0000-0000-000081220000}"/>
    <cellStyle name="SAPBEXexcCritical6 3 11" xfId="8695" xr:uid="{00000000-0005-0000-0000-000082220000}"/>
    <cellStyle name="SAPBEXexcCritical6 3 12" xfId="8696" xr:uid="{00000000-0005-0000-0000-000083220000}"/>
    <cellStyle name="SAPBEXexcCritical6 3 2" xfId="8697" xr:uid="{00000000-0005-0000-0000-000084220000}"/>
    <cellStyle name="SAPBEXexcCritical6 3 2 2" xfId="8698" xr:uid="{00000000-0005-0000-0000-000085220000}"/>
    <cellStyle name="SAPBEXexcCritical6 3 2 2 2" xfId="8699" xr:uid="{00000000-0005-0000-0000-000086220000}"/>
    <cellStyle name="SAPBEXexcCritical6 3 2 2 3" xfId="8700" xr:uid="{00000000-0005-0000-0000-000087220000}"/>
    <cellStyle name="SAPBEXexcCritical6 3 2 2 4" xfId="8701" xr:uid="{00000000-0005-0000-0000-000088220000}"/>
    <cellStyle name="SAPBEXexcCritical6 3 2 2 5" xfId="8702" xr:uid="{00000000-0005-0000-0000-000089220000}"/>
    <cellStyle name="SAPBEXexcCritical6 3 2 2 6" xfId="8703" xr:uid="{00000000-0005-0000-0000-00008A220000}"/>
    <cellStyle name="SAPBEXexcCritical6 3 2 3" xfId="8704" xr:uid="{00000000-0005-0000-0000-00008B220000}"/>
    <cellStyle name="SAPBEXexcCritical6 3 2 3 2" xfId="8705" xr:uid="{00000000-0005-0000-0000-00008C220000}"/>
    <cellStyle name="SAPBEXexcCritical6 3 2 3 3" xfId="8706" xr:uid="{00000000-0005-0000-0000-00008D220000}"/>
    <cellStyle name="SAPBEXexcCritical6 3 2 3 4" xfId="8707" xr:uid="{00000000-0005-0000-0000-00008E220000}"/>
    <cellStyle name="SAPBEXexcCritical6 3 2 3 5" xfId="8708" xr:uid="{00000000-0005-0000-0000-00008F220000}"/>
    <cellStyle name="SAPBEXexcCritical6 3 2 3 6" xfId="8709" xr:uid="{00000000-0005-0000-0000-000090220000}"/>
    <cellStyle name="SAPBEXexcCritical6 3 2 4" xfId="8710" xr:uid="{00000000-0005-0000-0000-000091220000}"/>
    <cellStyle name="SAPBEXexcCritical6 3 2 4 2" xfId="8711" xr:uid="{00000000-0005-0000-0000-000092220000}"/>
    <cellStyle name="SAPBEXexcCritical6 3 2 4 3" xfId="8712" xr:uid="{00000000-0005-0000-0000-000093220000}"/>
    <cellStyle name="SAPBEXexcCritical6 3 2 4 4" xfId="8713" xr:uid="{00000000-0005-0000-0000-000094220000}"/>
    <cellStyle name="SAPBEXexcCritical6 3 2 4 5" xfId="8714" xr:uid="{00000000-0005-0000-0000-000095220000}"/>
    <cellStyle name="SAPBEXexcCritical6 3 2 4 6" xfId="8715" xr:uid="{00000000-0005-0000-0000-000096220000}"/>
    <cellStyle name="SAPBEXexcCritical6 3 2 5" xfId="8716" xr:uid="{00000000-0005-0000-0000-000097220000}"/>
    <cellStyle name="SAPBEXexcCritical6 3 2 5 2" xfId="8717" xr:uid="{00000000-0005-0000-0000-000098220000}"/>
    <cellStyle name="SAPBEXexcCritical6 3 2 5 3" xfId="8718" xr:uid="{00000000-0005-0000-0000-000099220000}"/>
    <cellStyle name="SAPBEXexcCritical6 3 2 5 4" xfId="8719" xr:uid="{00000000-0005-0000-0000-00009A220000}"/>
    <cellStyle name="SAPBEXexcCritical6 3 2 5 5" xfId="8720" xr:uid="{00000000-0005-0000-0000-00009B220000}"/>
    <cellStyle name="SAPBEXexcCritical6 3 2 5 6" xfId="8721" xr:uid="{00000000-0005-0000-0000-00009C220000}"/>
    <cellStyle name="SAPBEXexcCritical6 3 2 6" xfId="8722" xr:uid="{00000000-0005-0000-0000-00009D220000}"/>
    <cellStyle name="SAPBEXexcCritical6 3 2 7" xfId="8723" xr:uid="{00000000-0005-0000-0000-00009E220000}"/>
    <cellStyle name="SAPBEXexcCritical6 3 2 8" xfId="8724" xr:uid="{00000000-0005-0000-0000-00009F220000}"/>
    <cellStyle name="SAPBEXexcCritical6 3 3" xfId="8725" xr:uid="{00000000-0005-0000-0000-0000A0220000}"/>
    <cellStyle name="SAPBEXexcCritical6 3 3 2" xfId="8726" xr:uid="{00000000-0005-0000-0000-0000A1220000}"/>
    <cellStyle name="SAPBEXexcCritical6 3 3 3" xfId="8727" xr:uid="{00000000-0005-0000-0000-0000A2220000}"/>
    <cellStyle name="SAPBEXexcCritical6 3 3 4" xfId="8728" xr:uid="{00000000-0005-0000-0000-0000A3220000}"/>
    <cellStyle name="SAPBEXexcCritical6 3 3 5" xfId="8729" xr:uid="{00000000-0005-0000-0000-0000A4220000}"/>
    <cellStyle name="SAPBEXexcCritical6 3 3 6" xfId="8730" xr:uid="{00000000-0005-0000-0000-0000A5220000}"/>
    <cellStyle name="SAPBEXexcCritical6 3 4" xfId="8731" xr:uid="{00000000-0005-0000-0000-0000A6220000}"/>
    <cellStyle name="SAPBEXexcCritical6 3 4 2" xfId="8732" xr:uid="{00000000-0005-0000-0000-0000A7220000}"/>
    <cellStyle name="SAPBEXexcCritical6 3 4 3" xfId="8733" xr:uid="{00000000-0005-0000-0000-0000A8220000}"/>
    <cellStyle name="SAPBEXexcCritical6 3 4 4" xfId="8734" xr:uid="{00000000-0005-0000-0000-0000A9220000}"/>
    <cellStyle name="SAPBEXexcCritical6 3 4 5" xfId="8735" xr:uid="{00000000-0005-0000-0000-0000AA220000}"/>
    <cellStyle name="SAPBEXexcCritical6 3 4 6" xfId="8736" xr:uid="{00000000-0005-0000-0000-0000AB220000}"/>
    <cellStyle name="SAPBEXexcCritical6 3 5" xfId="8737" xr:uid="{00000000-0005-0000-0000-0000AC220000}"/>
    <cellStyle name="SAPBEXexcCritical6 3 5 2" xfId="8738" xr:uid="{00000000-0005-0000-0000-0000AD220000}"/>
    <cellStyle name="SAPBEXexcCritical6 3 5 3" xfId="8739" xr:uid="{00000000-0005-0000-0000-0000AE220000}"/>
    <cellStyle name="SAPBEXexcCritical6 3 5 4" xfId="8740" xr:uid="{00000000-0005-0000-0000-0000AF220000}"/>
    <cellStyle name="SAPBEXexcCritical6 3 6" xfId="8741" xr:uid="{00000000-0005-0000-0000-0000B0220000}"/>
    <cellStyle name="SAPBEXexcCritical6 3 6 2" xfId="8742" xr:uid="{00000000-0005-0000-0000-0000B1220000}"/>
    <cellStyle name="SAPBEXexcCritical6 3 6 3" xfId="8743" xr:uid="{00000000-0005-0000-0000-0000B2220000}"/>
    <cellStyle name="SAPBEXexcCritical6 3 6 4" xfId="8744" xr:uid="{00000000-0005-0000-0000-0000B3220000}"/>
    <cellStyle name="SAPBEXexcCritical6 3 7" xfId="8745" xr:uid="{00000000-0005-0000-0000-0000B4220000}"/>
    <cellStyle name="SAPBEXexcCritical6 3 7 2" xfId="8746" xr:uid="{00000000-0005-0000-0000-0000B5220000}"/>
    <cellStyle name="SAPBEXexcCritical6 3 7 3" xfId="8747" xr:uid="{00000000-0005-0000-0000-0000B6220000}"/>
    <cellStyle name="SAPBEXexcCritical6 3 7 4" xfId="8748" xr:uid="{00000000-0005-0000-0000-0000B7220000}"/>
    <cellStyle name="SAPBEXexcCritical6 3 8" xfId="8749" xr:uid="{00000000-0005-0000-0000-0000B8220000}"/>
    <cellStyle name="SAPBEXexcCritical6 3 9" xfId="8750" xr:uid="{00000000-0005-0000-0000-0000B9220000}"/>
    <cellStyle name="SAPBEXexcCritical6 30" xfId="8751" xr:uid="{00000000-0005-0000-0000-0000BA220000}"/>
    <cellStyle name="SAPBEXexcCritical6 30 2" xfId="8752" xr:uid="{00000000-0005-0000-0000-0000BB220000}"/>
    <cellStyle name="SAPBEXexcCritical6 30 3" xfId="8753" xr:uid="{00000000-0005-0000-0000-0000BC220000}"/>
    <cellStyle name="SAPBEXexcCritical6 30 4" xfId="8754" xr:uid="{00000000-0005-0000-0000-0000BD220000}"/>
    <cellStyle name="SAPBEXexcCritical6 30 5" xfId="8755" xr:uid="{00000000-0005-0000-0000-0000BE220000}"/>
    <cellStyle name="SAPBEXexcCritical6 30 6" xfId="8756" xr:uid="{00000000-0005-0000-0000-0000BF220000}"/>
    <cellStyle name="SAPBEXexcCritical6 31" xfId="8757" xr:uid="{00000000-0005-0000-0000-0000C0220000}"/>
    <cellStyle name="SAPBEXexcCritical6 31 2" xfId="8758" xr:uid="{00000000-0005-0000-0000-0000C1220000}"/>
    <cellStyle name="SAPBEXexcCritical6 31 3" xfId="8759" xr:uid="{00000000-0005-0000-0000-0000C2220000}"/>
    <cellStyle name="SAPBEXexcCritical6 31 4" xfId="8760" xr:uid="{00000000-0005-0000-0000-0000C3220000}"/>
    <cellStyle name="SAPBEXexcCritical6 31 5" xfId="8761" xr:uid="{00000000-0005-0000-0000-0000C4220000}"/>
    <cellStyle name="SAPBEXexcCritical6 31 6" xfId="8762" xr:uid="{00000000-0005-0000-0000-0000C5220000}"/>
    <cellStyle name="SAPBEXexcCritical6 32" xfId="8763" xr:uid="{00000000-0005-0000-0000-0000C6220000}"/>
    <cellStyle name="SAPBEXexcCritical6 32 2" xfId="8764" xr:uid="{00000000-0005-0000-0000-0000C7220000}"/>
    <cellStyle name="SAPBEXexcCritical6 32 3" xfId="8765" xr:uid="{00000000-0005-0000-0000-0000C8220000}"/>
    <cellStyle name="SAPBEXexcCritical6 32 4" xfId="8766" xr:uid="{00000000-0005-0000-0000-0000C9220000}"/>
    <cellStyle name="SAPBEXexcCritical6 32 5" xfId="8767" xr:uid="{00000000-0005-0000-0000-0000CA220000}"/>
    <cellStyle name="SAPBEXexcCritical6 32 6" xfId="8768" xr:uid="{00000000-0005-0000-0000-0000CB220000}"/>
    <cellStyle name="SAPBEXexcCritical6 33" xfId="8769" xr:uid="{00000000-0005-0000-0000-0000CC220000}"/>
    <cellStyle name="SAPBEXexcCritical6 34" xfId="8770" xr:uid="{00000000-0005-0000-0000-0000CD220000}"/>
    <cellStyle name="SAPBEXexcCritical6 35" xfId="8771" xr:uid="{00000000-0005-0000-0000-0000CE220000}"/>
    <cellStyle name="SAPBEXexcCritical6 36" xfId="27825" xr:uid="{00000000-0005-0000-0000-0000CF220000}"/>
    <cellStyle name="SAPBEXexcCritical6 37" xfId="27912" xr:uid="{00000000-0005-0000-0000-0000D0220000}"/>
    <cellStyle name="SAPBEXexcCritical6 38" xfId="27977" xr:uid="{00000000-0005-0000-0000-0000D1220000}"/>
    <cellStyle name="SAPBEXexcCritical6 39" xfId="28012" xr:uid="{00000000-0005-0000-0000-0000D2220000}"/>
    <cellStyle name="SAPBEXexcCritical6 4" xfId="8772" xr:uid="{00000000-0005-0000-0000-0000D3220000}"/>
    <cellStyle name="SAPBEXexcCritical6 4 2" xfId="8773" xr:uid="{00000000-0005-0000-0000-0000D4220000}"/>
    <cellStyle name="SAPBEXexcCritical6 4 3" xfId="8774" xr:uid="{00000000-0005-0000-0000-0000D5220000}"/>
    <cellStyle name="SAPBEXexcCritical6 4 4" xfId="8775" xr:uid="{00000000-0005-0000-0000-0000D6220000}"/>
    <cellStyle name="SAPBEXexcCritical6 4 5" xfId="8776" xr:uid="{00000000-0005-0000-0000-0000D7220000}"/>
    <cellStyle name="SAPBEXexcCritical6 4 6" xfId="8777" xr:uid="{00000000-0005-0000-0000-0000D8220000}"/>
    <cellStyle name="SAPBEXexcCritical6 40" xfId="28150" xr:uid="{00000000-0005-0000-0000-0000D9220000}"/>
    <cellStyle name="SAPBEXexcCritical6 5" xfId="8778" xr:uid="{00000000-0005-0000-0000-0000DA220000}"/>
    <cellStyle name="SAPBEXexcCritical6 5 2" xfId="8779" xr:uid="{00000000-0005-0000-0000-0000DB220000}"/>
    <cellStyle name="SAPBEXexcCritical6 5 3" xfId="8780" xr:uid="{00000000-0005-0000-0000-0000DC220000}"/>
    <cellStyle name="SAPBEXexcCritical6 5 4" xfId="8781" xr:uid="{00000000-0005-0000-0000-0000DD220000}"/>
    <cellStyle name="SAPBEXexcCritical6 5 5" xfId="8782" xr:uid="{00000000-0005-0000-0000-0000DE220000}"/>
    <cellStyle name="SAPBEXexcCritical6 5 6" xfId="8783" xr:uid="{00000000-0005-0000-0000-0000DF220000}"/>
    <cellStyle name="SAPBEXexcCritical6 6" xfId="8784" xr:uid="{00000000-0005-0000-0000-0000E0220000}"/>
    <cellStyle name="SAPBEXexcCritical6 6 10" xfId="8785" xr:uid="{00000000-0005-0000-0000-0000E1220000}"/>
    <cellStyle name="SAPBEXexcCritical6 6 2" xfId="8786" xr:uid="{00000000-0005-0000-0000-0000E2220000}"/>
    <cellStyle name="SAPBEXexcCritical6 6 2 2" xfId="8787" xr:uid="{00000000-0005-0000-0000-0000E3220000}"/>
    <cellStyle name="SAPBEXexcCritical6 6 2 3" xfId="8788" xr:uid="{00000000-0005-0000-0000-0000E4220000}"/>
    <cellStyle name="SAPBEXexcCritical6 6 2 4" xfId="8789" xr:uid="{00000000-0005-0000-0000-0000E5220000}"/>
    <cellStyle name="SAPBEXexcCritical6 6 3" xfId="8790" xr:uid="{00000000-0005-0000-0000-0000E6220000}"/>
    <cellStyle name="SAPBEXexcCritical6 6 3 2" xfId="8791" xr:uid="{00000000-0005-0000-0000-0000E7220000}"/>
    <cellStyle name="SAPBEXexcCritical6 6 3 3" xfId="8792" xr:uid="{00000000-0005-0000-0000-0000E8220000}"/>
    <cellStyle name="SAPBEXexcCritical6 6 3 4" xfId="8793" xr:uid="{00000000-0005-0000-0000-0000E9220000}"/>
    <cellStyle name="SAPBEXexcCritical6 6 4" xfId="8794" xr:uid="{00000000-0005-0000-0000-0000EA220000}"/>
    <cellStyle name="SAPBEXexcCritical6 6 4 2" xfId="8795" xr:uid="{00000000-0005-0000-0000-0000EB220000}"/>
    <cellStyle name="SAPBEXexcCritical6 6 4 3" xfId="8796" xr:uid="{00000000-0005-0000-0000-0000EC220000}"/>
    <cellStyle name="SAPBEXexcCritical6 6 4 4" xfId="8797" xr:uid="{00000000-0005-0000-0000-0000ED220000}"/>
    <cellStyle name="SAPBEXexcCritical6 6 5" xfId="8798" xr:uid="{00000000-0005-0000-0000-0000EE220000}"/>
    <cellStyle name="SAPBEXexcCritical6 6 5 2" xfId="8799" xr:uid="{00000000-0005-0000-0000-0000EF220000}"/>
    <cellStyle name="SAPBEXexcCritical6 6 5 3" xfId="8800" xr:uid="{00000000-0005-0000-0000-0000F0220000}"/>
    <cellStyle name="SAPBEXexcCritical6 6 5 4" xfId="8801" xr:uid="{00000000-0005-0000-0000-0000F1220000}"/>
    <cellStyle name="SAPBEXexcCritical6 6 6" xfId="8802" xr:uid="{00000000-0005-0000-0000-0000F2220000}"/>
    <cellStyle name="SAPBEXexcCritical6 6 7" xfId="8803" xr:uid="{00000000-0005-0000-0000-0000F3220000}"/>
    <cellStyle name="SAPBEXexcCritical6 6 8" xfId="8804" xr:uid="{00000000-0005-0000-0000-0000F4220000}"/>
    <cellStyle name="SAPBEXexcCritical6 6 9" xfId="8805" xr:uid="{00000000-0005-0000-0000-0000F5220000}"/>
    <cellStyle name="SAPBEXexcCritical6 7" xfId="8806" xr:uid="{00000000-0005-0000-0000-0000F6220000}"/>
    <cellStyle name="SAPBEXexcCritical6 7 10" xfId="8807" xr:uid="{00000000-0005-0000-0000-0000F7220000}"/>
    <cellStyle name="SAPBEXexcCritical6 7 2" xfId="8808" xr:uid="{00000000-0005-0000-0000-0000F8220000}"/>
    <cellStyle name="SAPBEXexcCritical6 7 2 2" xfId="8809" xr:uid="{00000000-0005-0000-0000-0000F9220000}"/>
    <cellStyle name="SAPBEXexcCritical6 7 2 3" xfId="8810" xr:uid="{00000000-0005-0000-0000-0000FA220000}"/>
    <cellStyle name="SAPBEXexcCritical6 7 2 4" xfId="8811" xr:uid="{00000000-0005-0000-0000-0000FB220000}"/>
    <cellStyle name="SAPBEXexcCritical6 7 3" xfId="8812" xr:uid="{00000000-0005-0000-0000-0000FC220000}"/>
    <cellStyle name="SAPBEXexcCritical6 7 3 2" xfId="8813" xr:uid="{00000000-0005-0000-0000-0000FD220000}"/>
    <cellStyle name="SAPBEXexcCritical6 7 3 3" xfId="8814" xr:uid="{00000000-0005-0000-0000-0000FE220000}"/>
    <cellStyle name="SAPBEXexcCritical6 7 3 4" xfId="8815" xr:uid="{00000000-0005-0000-0000-0000FF220000}"/>
    <cellStyle name="SAPBEXexcCritical6 7 4" xfId="8816" xr:uid="{00000000-0005-0000-0000-000000230000}"/>
    <cellStyle name="SAPBEXexcCritical6 7 4 2" xfId="8817" xr:uid="{00000000-0005-0000-0000-000001230000}"/>
    <cellStyle name="SAPBEXexcCritical6 7 4 3" xfId="8818" xr:uid="{00000000-0005-0000-0000-000002230000}"/>
    <cellStyle name="SAPBEXexcCritical6 7 4 4" xfId="8819" xr:uid="{00000000-0005-0000-0000-000003230000}"/>
    <cellStyle name="SAPBEXexcCritical6 7 5" xfId="8820" xr:uid="{00000000-0005-0000-0000-000004230000}"/>
    <cellStyle name="SAPBEXexcCritical6 7 5 2" xfId="8821" xr:uid="{00000000-0005-0000-0000-000005230000}"/>
    <cellStyle name="SAPBEXexcCritical6 7 5 3" xfId="8822" xr:uid="{00000000-0005-0000-0000-000006230000}"/>
    <cellStyle name="SAPBEXexcCritical6 7 5 4" xfId="8823" xr:uid="{00000000-0005-0000-0000-000007230000}"/>
    <cellStyle name="SAPBEXexcCritical6 7 6" xfId="8824" xr:uid="{00000000-0005-0000-0000-000008230000}"/>
    <cellStyle name="SAPBEXexcCritical6 7 7" xfId="8825" xr:uid="{00000000-0005-0000-0000-000009230000}"/>
    <cellStyle name="SAPBEXexcCritical6 7 8" xfId="8826" xr:uid="{00000000-0005-0000-0000-00000A230000}"/>
    <cellStyle name="SAPBEXexcCritical6 7 9" xfId="8827" xr:uid="{00000000-0005-0000-0000-00000B230000}"/>
    <cellStyle name="SAPBEXexcCritical6 8" xfId="8828" xr:uid="{00000000-0005-0000-0000-00000C230000}"/>
    <cellStyle name="SAPBEXexcCritical6 8 2" xfId="8829" xr:uid="{00000000-0005-0000-0000-00000D230000}"/>
    <cellStyle name="SAPBEXexcCritical6 8 3" xfId="8830" xr:uid="{00000000-0005-0000-0000-00000E230000}"/>
    <cellStyle name="SAPBEXexcCritical6 8 4" xfId="8831" xr:uid="{00000000-0005-0000-0000-00000F230000}"/>
    <cellStyle name="SAPBEXexcCritical6 8 5" xfId="8832" xr:uid="{00000000-0005-0000-0000-000010230000}"/>
    <cellStyle name="SAPBEXexcCritical6 8 6" xfId="8833" xr:uid="{00000000-0005-0000-0000-000011230000}"/>
    <cellStyle name="SAPBEXexcCritical6 9" xfId="8834" xr:uid="{00000000-0005-0000-0000-000012230000}"/>
    <cellStyle name="SAPBEXexcCritical6 9 2" xfId="8835" xr:uid="{00000000-0005-0000-0000-000013230000}"/>
    <cellStyle name="SAPBEXexcCritical6 9 3" xfId="8836" xr:uid="{00000000-0005-0000-0000-000014230000}"/>
    <cellStyle name="SAPBEXexcCritical6 9 4" xfId="8837" xr:uid="{00000000-0005-0000-0000-000015230000}"/>
    <cellStyle name="SAPBEXexcCritical6 9 5" xfId="8838" xr:uid="{00000000-0005-0000-0000-000016230000}"/>
    <cellStyle name="SAPBEXexcCritical6 9 6" xfId="8839" xr:uid="{00000000-0005-0000-0000-000017230000}"/>
    <cellStyle name="SAPBEXexcCritical6_Receipts" xfId="8840" xr:uid="{00000000-0005-0000-0000-000018230000}"/>
    <cellStyle name="SAPBEXexcGood1" xfId="8841" xr:uid="{00000000-0005-0000-0000-000019230000}"/>
    <cellStyle name="SAPBEXexcGood1 10" xfId="8842" xr:uid="{00000000-0005-0000-0000-00001A230000}"/>
    <cellStyle name="SAPBEXexcGood1 10 2" xfId="8843" xr:uid="{00000000-0005-0000-0000-00001B230000}"/>
    <cellStyle name="SAPBEXexcGood1 10 3" xfId="8844" xr:uid="{00000000-0005-0000-0000-00001C230000}"/>
    <cellStyle name="SAPBEXexcGood1 10 4" xfId="8845" xr:uid="{00000000-0005-0000-0000-00001D230000}"/>
    <cellStyle name="SAPBEXexcGood1 10 5" xfId="8846" xr:uid="{00000000-0005-0000-0000-00001E230000}"/>
    <cellStyle name="SAPBEXexcGood1 10 6" xfId="8847" xr:uid="{00000000-0005-0000-0000-00001F230000}"/>
    <cellStyle name="SAPBEXexcGood1 11" xfId="8848" xr:uid="{00000000-0005-0000-0000-000020230000}"/>
    <cellStyle name="SAPBEXexcGood1 11 2" xfId="8849" xr:uid="{00000000-0005-0000-0000-000021230000}"/>
    <cellStyle name="SAPBEXexcGood1 11 3" xfId="8850" xr:uid="{00000000-0005-0000-0000-000022230000}"/>
    <cellStyle name="SAPBEXexcGood1 11 4" xfId="8851" xr:uid="{00000000-0005-0000-0000-000023230000}"/>
    <cellStyle name="SAPBEXexcGood1 11 5" xfId="8852" xr:uid="{00000000-0005-0000-0000-000024230000}"/>
    <cellStyle name="SAPBEXexcGood1 11 6" xfId="8853" xr:uid="{00000000-0005-0000-0000-000025230000}"/>
    <cellStyle name="SAPBEXexcGood1 12" xfId="8854" xr:uid="{00000000-0005-0000-0000-000026230000}"/>
    <cellStyle name="SAPBEXexcGood1 12 2" xfId="8855" xr:uid="{00000000-0005-0000-0000-000027230000}"/>
    <cellStyle name="SAPBEXexcGood1 12 3" xfId="8856" xr:uid="{00000000-0005-0000-0000-000028230000}"/>
    <cellStyle name="SAPBEXexcGood1 12 4" xfId="8857" xr:uid="{00000000-0005-0000-0000-000029230000}"/>
    <cellStyle name="SAPBEXexcGood1 12 5" xfId="8858" xr:uid="{00000000-0005-0000-0000-00002A230000}"/>
    <cellStyle name="SAPBEXexcGood1 12 6" xfId="8859" xr:uid="{00000000-0005-0000-0000-00002B230000}"/>
    <cellStyle name="SAPBEXexcGood1 13" xfId="8860" xr:uid="{00000000-0005-0000-0000-00002C230000}"/>
    <cellStyle name="SAPBEXexcGood1 13 2" xfId="8861" xr:uid="{00000000-0005-0000-0000-00002D230000}"/>
    <cellStyle name="SAPBEXexcGood1 13 3" xfId="8862" xr:uid="{00000000-0005-0000-0000-00002E230000}"/>
    <cellStyle name="SAPBEXexcGood1 13 4" xfId="8863" xr:uid="{00000000-0005-0000-0000-00002F230000}"/>
    <cellStyle name="SAPBEXexcGood1 13 5" xfId="8864" xr:uid="{00000000-0005-0000-0000-000030230000}"/>
    <cellStyle name="SAPBEXexcGood1 13 6" xfId="8865" xr:uid="{00000000-0005-0000-0000-000031230000}"/>
    <cellStyle name="SAPBEXexcGood1 14" xfId="8866" xr:uid="{00000000-0005-0000-0000-000032230000}"/>
    <cellStyle name="SAPBEXexcGood1 14 2" xfId="8867" xr:uid="{00000000-0005-0000-0000-000033230000}"/>
    <cellStyle name="SAPBEXexcGood1 14 3" xfId="8868" xr:uid="{00000000-0005-0000-0000-000034230000}"/>
    <cellStyle name="SAPBEXexcGood1 14 4" xfId="8869" xr:uid="{00000000-0005-0000-0000-000035230000}"/>
    <cellStyle name="SAPBEXexcGood1 14 5" xfId="8870" xr:uid="{00000000-0005-0000-0000-000036230000}"/>
    <cellStyle name="SAPBEXexcGood1 14 6" xfId="8871" xr:uid="{00000000-0005-0000-0000-000037230000}"/>
    <cellStyle name="SAPBEXexcGood1 15" xfId="8872" xr:uid="{00000000-0005-0000-0000-000038230000}"/>
    <cellStyle name="SAPBEXexcGood1 15 2" xfId="8873" xr:uid="{00000000-0005-0000-0000-000039230000}"/>
    <cellStyle name="SAPBEXexcGood1 15 3" xfId="8874" xr:uid="{00000000-0005-0000-0000-00003A230000}"/>
    <cellStyle name="SAPBEXexcGood1 15 4" xfId="8875" xr:uid="{00000000-0005-0000-0000-00003B230000}"/>
    <cellStyle name="SAPBEXexcGood1 15 5" xfId="8876" xr:uid="{00000000-0005-0000-0000-00003C230000}"/>
    <cellStyle name="SAPBEXexcGood1 15 6" xfId="8877" xr:uid="{00000000-0005-0000-0000-00003D230000}"/>
    <cellStyle name="SAPBEXexcGood1 16" xfId="8878" xr:uid="{00000000-0005-0000-0000-00003E230000}"/>
    <cellStyle name="SAPBEXexcGood1 16 2" xfId="8879" xr:uid="{00000000-0005-0000-0000-00003F230000}"/>
    <cellStyle name="SAPBEXexcGood1 16 3" xfId="8880" xr:uid="{00000000-0005-0000-0000-000040230000}"/>
    <cellStyle name="SAPBEXexcGood1 16 4" xfId="8881" xr:uid="{00000000-0005-0000-0000-000041230000}"/>
    <cellStyle name="SAPBEXexcGood1 16 5" xfId="8882" xr:uid="{00000000-0005-0000-0000-000042230000}"/>
    <cellStyle name="SAPBEXexcGood1 16 6" xfId="8883" xr:uid="{00000000-0005-0000-0000-000043230000}"/>
    <cellStyle name="SAPBEXexcGood1 17" xfId="8884" xr:uid="{00000000-0005-0000-0000-000044230000}"/>
    <cellStyle name="SAPBEXexcGood1 17 2" xfId="8885" xr:uid="{00000000-0005-0000-0000-000045230000}"/>
    <cellStyle name="SAPBEXexcGood1 17 3" xfId="8886" xr:uid="{00000000-0005-0000-0000-000046230000}"/>
    <cellStyle name="SAPBEXexcGood1 17 4" xfId="8887" xr:uid="{00000000-0005-0000-0000-000047230000}"/>
    <cellStyle name="SAPBEXexcGood1 17 5" xfId="8888" xr:uid="{00000000-0005-0000-0000-000048230000}"/>
    <cellStyle name="SAPBEXexcGood1 17 6" xfId="8889" xr:uid="{00000000-0005-0000-0000-000049230000}"/>
    <cellStyle name="SAPBEXexcGood1 18" xfId="8890" xr:uid="{00000000-0005-0000-0000-00004A230000}"/>
    <cellStyle name="SAPBEXexcGood1 18 2" xfId="8891" xr:uid="{00000000-0005-0000-0000-00004B230000}"/>
    <cellStyle name="SAPBEXexcGood1 18 3" xfId="8892" xr:uid="{00000000-0005-0000-0000-00004C230000}"/>
    <cellStyle name="SAPBEXexcGood1 18 4" xfId="8893" xr:uid="{00000000-0005-0000-0000-00004D230000}"/>
    <cellStyle name="SAPBEXexcGood1 18 5" xfId="8894" xr:uid="{00000000-0005-0000-0000-00004E230000}"/>
    <cellStyle name="SAPBEXexcGood1 18 6" xfId="8895" xr:uid="{00000000-0005-0000-0000-00004F230000}"/>
    <cellStyle name="SAPBEXexcGood1 19" xfId="8896" xr:uid="{00000000-0005-0000-0000-000050230000}"/>
    <cellStyle name="SAPBEXexcGood1 19 2" xfId="8897" xr:uid="{00000000-0005-0000-0000-000051230000}"/>
    <cellStyle name="SAPBEXexcGood1 19 3" xfId="8898" xr:uid="{00000000-0005-0000-0000-000052230000}"/>
    <cellStyle name="SAPBEXexcGood1 19 4" xfId="8899" xr:uid="{00000000-0005-0000-0000-000053230000}"/>
    <cellStyle name="SAPBEXexcGood1 19 5" xfId="8900" xr:uid="{00000000-0005-0000-0000-000054230000}"/>
    <cellStyle name="SAPBEXexcGood1 19 6" xfId="8901" xr:uid="{00000000-0005-0000-0000-000055230000}"/>
    <cellStyle name="SAPBEXexcGood1 2" xfId="8902" xr:uid="{00000000-0005-0000-0000-000056230000}"/>
    <cellStyle name="SAPBEXexcGood1 2 10" xfId="8903" xr:uid="{00000000-0005-0000-0000-000057230000}"/>
    <cellStyle name="SAPBEXexcGood1 2 10 2" xfId="8904" xr:uid="{00000000-0005-0000-0000-000058230000}"/>
    <cellStyle name="SAPBEXexcGood1 2 10 3" xfId="8905" xr:uid="{00000000-0005-0000-0000-000059230000}"/>
    <cellStyle name="SAPBEXexcGood1 2 10 4" xfId="8906" xr:uid="{00000000-0005-0000-0000-00005A230000}"/>
    <cellStyle name="SAPBEXexcGood1 2 11" xfId="8907" xr:uid="{00000000-0005-0000-0000-00005B230000}"/>
    <cellStyle name="SAPBEXexcGood1 2 11 2" xfId="8908" xr:uid="{00000000-0005-0000-0000-00005C230000}"/>
    <cellStyle name="SAPBEXexcGood1 2 11 3" xfId="8909" xr:uid="{00000000-0005-0000-0000-00005D230000}"/>
    <cellStyle name="SAPBEXexcGood1 2 11 4" xfId="8910" xr:uid="{00000000-0005-0000-0000-00005E230000}"/>
    <cellStyle name="SAPBEXexcGood1 2 12" xfId="8911" xr:uid="{00000000-0005-0000-0000-00005F230000}"/>
    <cellStyle name="SAPBEXexcGood1 2 12 2" xfId="8912" xr:uid="{00000000-0005-0000-0000-000060230000}"/>
    <cellStyle name="SAPBEXexcGood1 2 12 3" xfId="8913" xr:uid="{00000000-0005-0000-0000-000061230000}"/>
    <cellStyle name="SAPBEXexcGood1 2 12 4" xfId="8914" xr:uid="{00000000-0005-0000-0000-000062230000}"/>
    <cellStyle name="SAPBEXexcGood1 2 13" xfId="8915" xr:uid="{00000000-0005-0000-0000-000063230000}"/>
    <cellStyle name="SAPBEXexcGood1 2 13 2" xfId="8916" xr:uid="{00000000-0005-0000-0000-000064230000}"/>
    <cellStyle name="SAPBEXexcGood1 2 13 3" xfId="8917" xr:uid="{00000000-0005-0000-0000-000065230000}"/>
    <cellStyle name="SAPBEXexcGood1 2 13 4" xfId="8918" xr:uid="{00000000-0005-0000-0000-000066230000}"/>
    <cellStyle name="SAPBEXexcGood1 2 14" xfId="8919" xr:uid="{00000000-0005-0000-0000-000067230000}"/>
    <cellStyle name="SAPBEXexcGood1 2 15" xfId="8920" xr:uid="{00000000-0005-0000-0000-000068230000}"/>
    <cellStyle name="SAPBEXexcGood1 2 16" xfId="8921" xr:uid="{00000000-0005-0000-0000-000069230000}"/>
    <cellStyle name="SAPBEXexcGood1 2 17" xfId="8922" xr:uid="{00000000-0005-0000-0000-00006A230000}"/>
    <cellStyle name="SAPBEXexcGood1 2 18" xfId="8923" xr:uid="{00000000-0005-0000-0000-00006B230000}"/>
    <cellStyle name="SAPBEXexcGood1 2 2" xfId="8924" xr:uid="{00000000-0005-0000-0000-00006C230000}"/>
    <cellStyle name="SAPBEXexcGood1 2 2 2" xfId="8925" xr:uid="{00000000-0005-0000-0000-00006D230000}"/>
    <cellStyle name="SAPBEXexcGood1 2 2 2 2" xfId="8926" xr:uid="{00000000-0005-0000-0000-00006E230000}"/>
    <cellStyle name="SAPBEXexcGood1 2 2 2 3" xfId="8927" xr:uid="{00000000-0005-0000-0000-00006F230000}"/>
    <cellStyle name="SAPBEXexcGood1 2 2 2 4" xfId="8928" xr:uid="{00000000-0005-0000-0000-000070230000}"/>
    <cellStyle name="SAPBEXexcGood1 2 2 2 5" xfId="8929" xr:uid="{00000000-0005-0000-0000-000071230000}"/>
    <cellStyle name="SAPBEXexcGood1 2 2 2 6" xfId="8930" xr:uid="{00000000-0005-0000-0000-000072230000}"/>
    <cellStyle name="SAPBEXexcGood1 2 2 3" xfId="8931" xr:uid="{00000000-0005-0000-0000-000073230000}"/>
    <cellStyle name="SAPBEXexcGood1 2 2 3 2" xfId="8932" xr:uid="{00000000-0005-0000-0000-000074230000}"/>
    <cellStyle name="SAPBEXexcGood1 2 2 3 3" xfId="8933" xr:uid="{00000000-0005-0000-0000-000075230000}"/>
    <cellStyle name="SAPBEXexcGood1 2 2 3 4" xfId="8934" xr:uid="{00000000-0005-0000-0000-000076230000}"/>
    <cellStyle name="SAPBEXexcGood1 2 2 3 5" xfId="8935" xr:uid="{00000000-0005-0000-0000-000077230000}"/>
    <cellStyle name="SAPBEXexcGood1 2 2 3 6" xfId="8936" xr:uid="{00000000-0005-0000-0000-000078230000}"/>
    <cellStyle name="SAPBEXexcGood1 2 2 4" xfId="8937" xr:uid="{00000000-0005-0000-0000-000079230000}"/>
    <cellStyle name="SAPBEXexcGood1 2 2 4 2" xfId="8938" xr:uid="{00000000-0005-0000-0000-00007A230000}"/>
    <cellStyle name="SAPBEXexcGood1 2 2 4 3" xfId="8939" xr:uid="{00000000-0005-0000-0000-00007B230000}"/>
    <cellStyle name="SAPBEXexcGood1 2 2 4 4" xfId="8940" xr:uid="{00000000-0005-0000-0000-00007C230000}"/>
    <cellStyle name="SAPBEXexcGood1 2 2 4 5" xfId="8941" xr:uid="{00000000-0005-0000-0000-00007D230000}"/>
    <cellStyle name="SAPBEXexcGood1 2 2 4 6" xfId="8942" xr:uid="{00000000-0005-0000-0000-00007E230000}"/>
    <cellStyle name="SAPBEXexcGood1 2 2 5" xfId="8943" xr:uid="{00000000-0005-0000-0000-00007F230000}"/>
    <cellStyle name="SAPBEXexcGood1 2 2 5 2" xfId="8944" xr:uid="{00000000-0005-0000-0000-000080230000}"/>
    <cellStyle name="SAPBEXexcGood1 2 2 5 3" xfId="8945" xr:uid="{00000000-0005-0000-0000-000081230000}"/>
    <cellStyle name="SAPBEXexcGood1 2 2 5 4" xfId="8946" xr:uid="{00000000-0005-0000-0000-000082230000}"/>
    <cellStyle name="SAPBEXexcGood1 2 2 5 5" xfId="8947" xr:uid="{00000000-0005-0000-0000-000083230000}"/>
    <cellStyle name="SAPBEXexcGood1 2 2 5 6" xfId="8948" xr:uid="{00000000-0005-0000-0000-000084230000}"/>
    <cellStyle name="SAPBEXexcGood1 2 2 6" xfId="8949" xr:uid="{00000000-0005-0000-0000-000085230000}"/>
    <cellStyle name="SAPBEXexcGood1 2 2 7" xfId="8950" xr:uid="{00000000-0005-0000-0000-000086230000}"/>
    <cellStyle name="SAPBEXexcGood1 2 2 8" xfId="8951" xr:uid="{00000000-0005-0000-0000-000087230000}"/>
    <cellStyle name="SAPBEXexcGood1 2 3" xfId="8952" xr:uid="{00000000-0005-0000-0000-000088230000}"/>
    <cellStyle name="SAPBEXexcGood1 2 3 2" xfId="8953" xr:uid="{00000000-0005-0000-0000-000089230000}"/>
    <cellStyle name="SAPBEXexcGood1 2 3 2 2" xfId="8954" xr:uid="{00000000-0005-0000-0000-00008A230000}"/>
    <cellStyle name="SAPBEXexcGood1 2 3 2 3" xfId="8955" xr:uid="{00000000-0005-0000-0000-00008B230000}"/>
    <cellStyle name="SAPBEXexcGood1 2 3 2 4" xfId="8956" xr:uid="{00000000-0005-0000-0000-00008C230000}"/>
    <cellStyle name="SAPBEXexcGood1 2 3 2 5" xfId="8957" xr:uid="{00000000-0005-0000-0000-00008D230000}"/>
    <cellStyle name="SAPBEXexcGood1 2 3 2 6" xfId="8958" xr:uid="{00000000-0005-0000-0000-00008E230000}"/>
    <cellStyle name="SAPBEXexcGood1 2 3 3" xfId="8959" xr:uid="{00000000-0005-0000-0000-00008F230000}"/>
    <cellStyle name="SAPBEXexcGood1 2 3 3 2" xfId="8960" xr:uid="{00000000-0005-0000-0000-000090230000}"/>
    <cellStyle name="SAPBEXexcGood1 2 3 3 3" xfId="8961" xr:uid="{00000000-0005-0000-0000-000091230000}"/>
    <cellStyle name="SAPBEXexcGood1 2 3 3 4" xfId="8962" xr:uid="{00000000-0005-0000-0000-000092230000}"/>
    <cellStyle name="SAPBEXexcGood1 2 3 3 5" xfId="8963" xr:uid="{00000000-0005-0000-0000-000093230000}"/>
    <cellStyle name="SAPBEXexcGood1 2 3 3 6" xfId="8964" xr:uid="{00000000-0005-0000-0000-000094230000}"/>
    <cellStyle name="SAPBEXexcGood1 2 3 4" xfId="8965" xr:uid="{00000000-0005-0000-0000-000095230000}"/>
    <cellStyle name="SAPBEXexcGood1 2 3 4 2" xfId="8966" xr:uid="{00000000-0005-0000-0000-000096230000}"/>
    <cellStyle name="SAPBEXexcGood1 2 3 4 3" xfId="8967" xr:uid="{00000000-0005-0000-0000-000097230000}"/>
    <cellStyle name="SAPBEXexcGood1 2 3 4 4" xfId="8968" xr:uid="{00000000-0005-0000-0000-000098230000}"/>
    <cellStyle name="SAPBEXexcGood1 2 3 4 5" xfId="8969" xr:uid="{00000000-0005-0000-0000-000099230000}"/>
    <cellStyle name="SAPBEXexcGood1 2 3 4 6" xfId="8970" xr:uid="{00000000-0005-0000-0000-00009A230000}"/>
    <cellStyle name="SAPBEXexcGood1 2 3 5" xfId="8971" xr:uid="{00000000-0005-0000-0000-00009B230000}"/>
    <cellStyle name="SAPBEXexcGood1 2 3 5 2" xfId="8972" xr:uid="{00000000-0005-0000-0000-00009C230000}"/>
    <cellStyle name="SAPBEXexcGood1 2 3 5 3" xfId="8973" xr:uid="{00000000-0005-0000-0000-00009D230000}"/>
    <cellStyle name="SAPBEXexcGood1 2 3 5 4" xfId="8974" xr:uid="{00000000-0005-0000-0000-00009E230000}"/>
    <cellStyle name="SAPBEXexcGood1 2 3 5 5" xfId="8975" xr:uid="{00000000-0005-0000-0000-00009F230000}"/>
    <cellStyle name="SAPBEXexcGood1 2 3 5 6" xfId="8976" xr:uid="{00000000-0005-0000-0000-0000A0230000}"/>
    <cellStyle name="SAPBEXexcGood1 2 3 6" xfId="8977" xr:uid="{00000000-0005-0000-0000-0000A1230000}"/>
    <cellStyle name="SAPBEXexcGood1 2 3 7" xfId="8978" xr:uid="{00000000-0005-0000-0000-0000A2230000}"/>
    <cellStyle name="SAPBEXexcGood1 2 3 8" xfId="8979" xr:uid="{00000000-0005-0000-0000-0000A3230000}"/>
    <cellStyle name="SAPBEXexcGood1 2 4" xfId="8980" xr:uid="{00000000-0005-0000-0000-0000A4230000}"/>
    <cellStyle name="SAPBEXexcGood1 2 4 2" xfId="8981" xr:uid="{00000000-0005-0000-0000-0000A5230000}"/>
    <cellStyle name="SAPBEXexcGood1 2 4 2 2" xfId="8982" xr:uid="{00000000-0005-0000-0000-0000A6230000}"/>
    <cellStyle name="SAPBEXexcGood1 2 4 2 3" xfId="8983" xr:uid="{00000000-0005-0000-0000-0000A7230000}"/>
    <cellStyle name="SAPBEXexcGood1 2 4 2 4" xfId="8984" xr:uid="{00000000-0005-0000-0000-0000A8230000}"/>
    <cellStyle name="SAPBEXexcGood1 2 4 2 5" xfId="8985" xr:uid="{00000000-0005-0000-0000-0000A9230000}"/>
    <cellStyle name="SAPBEXexcGood1 2 4 2 6" xfId="8986" xr:uid="{00000000-0005-0000-0000-0000AA230000}"/>
    <cellStyle name="SAPBEXexcGood1 2 4 3" xfId="8987" xr:uid="{00000000-0005-0000-0000-0000AB230000}"/>
    <cellStyle name="SAPBEXexcGood1 2 4 3 2" xfId="8988" xr:uid="{00000000-0005-0000-0000-0000AC230000}"/>
    <cellStyle name="SAPBEXexcGood1 2 4 3 3" xfId="8989" xr:uid="{00000000-0005-0000-0000-0000AD230000}"/>
    <cellStyle name="SAPBEXexcGood1 2 4 3 4" xfId="8990" xr:uid="{00000000-0005-0000-0000-0000AE230000}"/>
    <cellStyle name="SAPBEXexcGood1 2 4 3 5" xfId="8991" xr:uid="{00000000-0005-0000-0000-0000AF230000}"/>
    <cellStyle name="SAPBEXexcGood1 2 4 3 6" xfId="8992" xr:uid="{00000000-0005-0000-0000-0000B0230000}"/>
    <cellStyle name="SAPBEXexcGood1 2 4 4" xfId="8993" xr:uid="{00000000-0005-0000-0000-0000B1230000}"/>
    <cellStyle name="SAPBEXexcGood1 2 4 4 2" xfId="8994" xr:uid="{00000000-0005-0000-0000-0000B2230000}"/>
    <cellStyle name="SAPBEXexcGood1 2 4 4 3" xfId="8995" xr:uid="{00000000-0005-0000-0000-0000B3230000}"/>
    <cellStyle name="SAPBEXexcGood1 2 4 4 4" xfId="8996" xr:uid="{00000000-0005-0000-0000-0000B4230000}"/>
    <cellStyle name="SAPBEXexcGood1 2 4 4 5" xfId="8997" xr:uid="{00000000-0005-0000-0000-0000B5230000}"/>
    <cellStyle name="SAPBEXexcGood1 2 4 4 6" xfId="8998" xr:uid="{00000000-0005-0000-0000-0000B6230000}"/>
    <cellStyle name="SAPBEXexcGood1 2 4 5" xfId="8999" xr:uid="{00000000-0005-0000-0000-0000B7230000}"/>
    <cellStyle name="SAPBEXexcGood1 2 4 5 2" xfId="9000" xr:uid="{00000000-0005-0000-0000-0000B8230000}"/>
    <cellStyle name="SAPBEXexcGood1 2 4 5 3" xfId="9001" xr:uid="{00000000-0005-0000-0000-0000B9230000}"/>
    <cellStyle name="SAPBEXexcGood1 2 4 5 4" xfId="9002" xr:uid="{00000000-0005-0000-0000-0000BA230000}"/>
    <cellStyle name="SAPBEXexcGood1 2 4 5 5" xfId="9003" xr:uid="{00000000-0005-0000-0000-0000BB230000}"/>
    <cellStyle name="SAPBEXexcGood1 2 4 5 6" xfId="9004" xr:uid="{00000000-0005-0000-0000-0000BC230000}"/>
    <cellStyle name="SAPBEXexcGood1 2 4 6" xfId="9005" xr:uid="{00000000-0005-0000-0000-0000BD230000}"/>
    <cellStyle name="SAPBEXexcGood1 2 4 7" xfId="9006" xr:uid="{00000000-0005-0000-0000-0000BE230000}"/>
    <cellStyle name="SAPBEXexcGood1 2 4 8" xfId="9007" xr:uid="{00000000-0005-0000-0000-0000BF230000}"/>
    <cellStyle name="SAPBEXexcGood1 2 5" xfId="9008" xr:uid="{00000000-0005-0000-0000-0000C0230000}"/>
    <cellStyle name="SAPBEXexcGood1 2 5 2" xfId="9009" xr:uid="{00000000-0005-0000-0000-0000C1230000}"/>
    <cellStyle name="SAPBEXexcGood1 2 5 3" xfId="9010" xr:uid="{00000000-0005-0000-0000-0000C2230000}"/>
    <cellStyle name="SAPBEXexcGood1 2 5 4" xfId="9011" xr:uid="{00000000-0005-0000-0000-0000C3230000}"/>
    <cellStyle name="SAPBEXexcGood1 2 6" xfId="9012" xr:uid="{00000000-0005-0000-0000-0000C4230000}"/>
    <cellStyle name="SAPBEXexcGood1 2 6 2" xfId="9013" xr:uid="{00000000-0005-0000-0000-0000C5230000}"/>
    <cellStyle name="SAPBEXexcGood1 2 6 3" xfId="9014" xr:uid="{00000000-0005-0000-0000-0000C6230000}"/>
    <cellStyle name="SAPBEXexcGood1 2 6 4" xfId="9015" xr:uid="{00000000-0005-0000-0000-0000C7230000}"/>
    <cellStyle name="SAPBEXexcGood1 2 7" xfId="9016" xr:uid="{00000000-0005-0000-0000-0000C8230000}"/>
    <cellStyle name="SAPBEXexcGood1 2 7 2" xfId="9017" xr:uid="{00000000-0005-0000-0000-0000C9230000}"/>
    <cellStyle name="SAPBEXexcGood1 2 7 3" xfId="9018" xr:uid="{00000000-0005-0000-0000-0000CA230000}"/>
    <cellStyle name="SAPBEXexcGood1 2 7 4" xfId="9019" xr:uid="{00000000-0005-0000-0000-0000CB230000}"/>
    <cellStyle name="SAPBEXexcGood1 2 8" xfId="9020" xr:uid="{00000000-0005-0000-0000-0000CC230000}"/>
    <cellStyle name="SAPBEXexcGood1 2 8 2" xfId="9021" xr:uid="{00000000-0005-0000-0000-0000CD230000}"/>
    <cellStyle name="SAPBEXexcGood1 2 8 3" xfId="9022" xr:uid="{00000000-0005-0000-0000-0000CE230000}"/>
    <cellStyle name="SAPBEXexcGood1 2 8 4" xfId="9023" xr:uid="{00000000-0005-0000-0000-0000CF230000}"/>
    <cellStyle name="SAPBEXexcGood1 2 9" xfId="9024" xr:uid="{00000000-0005-0000-0000-0000D0230000}"/>
    <cellStyle name="SAPBEXexcGood1 2 9 2" xfId="9025" xr:uid="{00000000-0005-0000-0000-0000D1230000}"/>
    <cellStyle name="SAPBEXexcGood1 2 9 3" xfId="9026" xr:uid="{00000000-0005-0000-0000-0000D2230000}"/>
    <cellStyle name="SAPBEXexcGood1 2 9 4" xfId="9027" xr:uid="{00000000-0005-0000-0000-0000D3230000}"/>
    <cellStyle name="SAPBEXexcGood1 20" xfId="9028" xr:uid="{00000000-0005-0000-0000-0000D4230000}"/>
    <cellStyle name="SAPBEXexcGood1 20 2" xfId="9029" xr:uid="{00000000-0005-0000-0000-0000D5230000}"/>
    <cellStyle name="SAPBEXexcGood1 20 3" xfId="9030" xr:uid="{00000000-0005-0000-0000-0000D6230000}"/>
    <cellStyle name="SAPBEXexcGood1 20 4" xfId="9031" xr:uid="{00000000-0005-0000-0000-0000D7230000}"/>
    <cellStyle name="SAPBEXexcGood1 20 5" xfId="9032" xr:uid="{00000000-0005-0000-0000-0000D8230000}"/>
    <cellStyle name="SAPBEXexcGood1 20 6" xfId="9033" xr:uid="{00000000-0005-0000-0000-0000D9230000}"/>
    <cellStyle name="SAPBEXexcGood1 21" xfId="9034" xr:uid="{00000000-0005-0000-0000-0000DA230000}"/>
    <cellStyle name="SAPBEXexcGood1 21 2" xfId="9035" xr:uid="{00000000-0005-0000-0000-0000DB230000}"/>
    <cellStyle name="SAPBEXexcGood1 21 3" xfId="9036" xr:uid="{00000000-0005-0000-0000-0000DC230000}"/>
    <cellStyle name="SAPBEXexcGood1 21 4" xfId="9037" xr:uid="{00000000-0005-0000-0000-0000DD230000}"/>
    <cellStyle name="SAPBEXexcGood1 21 5" xfId="9038" xr:uid="{00000000-0005-0000-0000-0000DE230000}"/>
    <cellStyle name="SAPBEXexcGood1 21 6" xfId="9039" xr:uid="{00000000-0005-0000-0000-0000DF230000}"/>
    <cellStyle name="SAPBEXexcGood1 22" xfId="9040" xr:uid="{00000000-0005-0000-0000-0000E0230000}"/>
    <cellStyle name="SAPBEXexcGood1 22 2" xfId="9041" xr:uid="{00000000-0005-0000-0000-0000E1230000}"/>
    <cellStyle name="SAPBEXexcGood1 22 3" xfId="9042" xr:uid="{00000000-0005-0000-0000-0000E2230000}"/>
    <cellStyle name="SAPBEXexcGood1 22 4" xfId="9043" xr:uid="{00000000-0005-0000-0000-0000E3230000}"/>
    <cellStyle name="SAPBEXexcGood1 22 5" xfId="9044" xr:uid="{00000000-0005-0000-0000-0000E4230000}"/>
    <cellStyle name="SAPBEXexcGood1 22 6" xfId="9045" xr:uid="{00000000-0005-0000-0000-0000E5230000}"/>
    <cellStyle name="SAPBEXexcGood1 23" xfId="9046" xr:uid="{00000000-0005-0000-0000-0000E6230000}"/>
    <cellStyle name="SAPBEXexcGood1 23 2" xfId="9047" xr:uid="{00000000-0005-0000-0000-0000E7230000}"/>
    <cellStyle name="SAPBEXexcGood1 23 3" xfId="9048" xr:uid="{00000000-0005-0000-0000-0000E8230000}"/>
    <cellStyle name="SAPBEXexcGood1 23 4" xfId="9049" xr:uid="{00000000-0005-0000-0000-0000E9230000}"/>
    <cellStyle name="SAPBEXexcGood1 23 5" xfId="9050" xr:uid="{00000000-0005-0000-0000-0000EA230000}"/>
    <cellStyle name="SAPBEXexcGood1 23 6" xfId="9051" xr:uid="{00000000-0005-0000-0000-0000EB230000}"/>
    <cellStyle name="SAPBEXexcGood1 24" xfId="9052" xr:uid="{00000000-0005-0000-0000-0000EC230000}"/>
    <cellStyle name="SAPBEXexcGood1 24 2" xfId="9053" xr:uid="{00000000-0005-0000-0000-0000ED230000}"/>
    <cellStyle name="SAPBEXexcGood1 24 3" xfId="9054" xr:uid="{00000000-0005-0000-0000-0000EE230000}"/>
    <cellStyle name="SAPBEXexcGood1 24 4" xfId="9055" xr:uid="{00000000-0005-0000-0000-0000EF230000}"/>
    <cellStyle name="SAPBEXexcGood1 24 5" xfId="9056" xr:uid="{00000000-0005-0000-0000-0000F0230000}"/>
    <cellStyle name="SAPBEXexcGood1 24 6" xfId="9057" xr:uid="{00000000-0005-0000-0000-0000F1230000}"/>
    <cellStyle name="SAPBEXexcGood1 25" xfId="9058" xr:uid="{00000000-0005-0000-0000-0000F2230000}"/>
    <cellStyle name="SAPBEXexcGood1 25 2" xfId="9059" xr:uid="{00000000-0005-0000-0000-0000F3230000}"/>
    <cellStyle name="SAPBEXexcGood1 25 3" xfId="9060" xr:uid="{00000000-0005-0000-0000-0000F4230000}"/>
    <cellStyle name="SAPBEXexcGood1 25 4" xfId="9061" xr:uid="{00000000-0005-0000-0000-0000F5230000}"/>
    <cellStyle name="SAPBEXexcGood1 25 5" xfId="9062" xr:uid="{00000000-0005-0000-0000-0000F6230000}"/>
    <cellStyle name="SAPBEXexcGood1 25 6" xfId="9063" xr:uid="{00000000-0005-0000-0000-0000F7230000}"/>
    <cellStyle name="SAPBEXexcGood1 26" xfId="9064" xr:uid="{00000000-0005-0000-0000-0000F8230000}"/>
    <cellStyle name="SAPBEXexcGood1 26 2" xfId="9065" xr:uid="{00000000-0005-0000-0000-0000F9230000}"/>
    <cellStyle name="SAPBEXexcGood1 26 3" xfId="9066" xr:uid="{00000000-0005-0000-0000-0000FA230000}"/>
    <cellStyle name="SAPBEXexcGood1 26 4" xfId="9067" xr:uid="{00000000-0005-0000-0000-0000FB230000}"/>
    <cellStyle name="SAPBEXexcGood1 26 5" xfId="9068" xr:uid="{00000000-0005-0000-0000-0000FC230000}"/>
    <cellStyle name="SAPBEXexcGood1 26 6" xfId="9069" xr:uid="{00000000-0005-0000-0000-0000FD230000}"/>
    <cellStyle name="SAPBEXexcGood1 27" xfId="9070" xr:uid="{00000000-0005-0000-0000-0000FE230000}"/>
    <cellStyle name="SAPBEXexcGood1 27 2" xfId="9071" xr:uid="{00000000-0005-0000-0000-0000FF230000}"/>
    <cellStyle name="SAPBEXexcGood1 27 3" xfId="9072" xr:uid="{00000000-0005-0000-0000-000000240000}"/>
    <cellStyle name="SAPBEXexcGood1 27 4" xfId="9073" xr:uid="{00000000-0005-0000-0000-000001240000}"/>
    <cellStyle name="SAPBEXexcGood1 27 5" xfId="9074" xr:uid="{00000000-0005-0000-0000-000002240000}"/>
    <cellStyle name="SAPBEXexcGood1 27 6" xfId="9075" xr:uid="{00000000-0005-0000-0000-000003240000}"/>
    <cellStyle name="SAPBEXexcGood1 28" xfId="9076" xr:uid="{00000000-0005-0000-0000-000004240000}"/>
    <cellStyle name="SAPBEXexcGood1 28 2" xfId="9077" xr:uid="{00000000-0005-0000-0000-000005240000}"/>
    <cellStyle name="SAPBEXexcGood1 28 3" xfId="9078" xr:uid="{00000000-0005-0000-0000-000006240000}"/>
    <cellStyle name="SAPBEXexcGood1 28 4" xfId="9079" xr:uid="{00000000-0005-0000-0000-000007240000}"/>
    <cellStyle name="SAPBEXexcGood1 28 5" xfId="9080" xr:uid="{00000000-0005-0000-0000-000008240000}"/>
    <cellStyle name="SAPBEXexcGood1 28 6" xfId="9081" xr:uid="{00000000-0005-0000-0000-000009240000}"/>
    <cellStyle name="SAPBEXexcGood1 29" xfId="9082" xr:uid="{00000000-0005-0000-0000-00000A240000}"/>
    <cellStyle name="SAPBEXexcGood1 29 2" xfId="9083" xr:uid="{00000000-0005-0000-0000-00000B240000}"/>
    <cellStyle name="SAPBEXexcGood1 29 3" xfId="9084" xr:uid="{00000000-0005-0000-0000-00000C240000}"/>
    <cellStyle name="SAPBEXexcGood1 29 4" xfId="9085" xr:uid="{00000000-0005-0000-0000-00000D240000}"/>
    <cellStyle name="SAPBEXexcGood1 29 5" xfId="9086" xr:uid="{00000000-0005-0000-0000-00000E240000}"/>
    <cellStyle name="SAPBEXexcGood1 29 6" xfId="9087" xr:uid="{00000000-0005-0000-0000-00000F240000}"/>
    <cellStyle name="SAPBEXexcGood1 3" xfId="9088" xr:uid="{00000000-0005-0000-0000-000010240000}"/>
    <cellStyle name="SAPBEXexcGood1 3 10" xfId="9089" xr:uid="{00000000-0005-0000-0000-000011240000}"/>
    <cellStyle name="SAPBEXexcGood1 3 11" xfId="9090" xr:uid="{00000000-0005-0000-0000-000012240000}"/>
    <cellStyle name="SAPBEXexcGood1 3 12" xfId="9091" xr:uid="{00000000-0005-0000-0000-000013240000}"/>
    <cellStyle name="SAPBEXexcGood1 3 2" xfId="9092" xr:uid="{00000000-0005-0000-0000-000014240000}"/>
    <cellStyle name="SAPBEXexcGood1 3 2 2" xfId="9093" xr:uid="{00000000-0005-0000-0000-000015240000}"/>
    <cellStyle name="SAPBEXexcGood1 3 2 2 2" xfId="9094" xr:uid="{00000000-0005-0000-0000-000016240000}"/>
    <cellStyle name="SAPBEXexcGood1 3 2 2 3" xfId="9095" xr:uid="{00000000-0005-0000-0000-000017240000}"/>
    <cellStyle name="SAPBEXexcGood1 3 2 2 4" xfId="9096" xr:uid="{00000000-0005-0000-0000-000018240000}"/>
    <cellStyle name="SAPBEXexcGood1 3 2 2 5" xfId="9097" xr:uid="{00000000-0005-0000-0000-000019240000}"/>
    <cellStyle name="SAPBEXexcGood1 3 2 2 6" xfId="9098" xr:uid="{00000000-0005-0000-0000-00001A240000}"/>
    <cellStyle name="SAPBEXexcGood1 3 2 3" xfId="9099" xr:uid="{00000000-0005-0000-0000-00001B240000}"/>
    <cellStyle name="SAPBEXexcGood1 3 2 3 2" xfId="9100" xr:uid="{00000000-0005-0000-0000-00001C240000}"/>
    <cellStyle name="SAPBEXexcGood1 3 2 3 3" xfId="9101" xr:uid="{00000000-0005-0000-0000-00001D240000}"/>
    <cellStyle name="SAPBEXexcGood1 3 2 3 4" xfId="9102" xr:uid="{00000000-0005-0000-0000-00001E240000}"/>
    <cellStyle name="SAPBEXexcGood1 3 2 3 5" xfId="9103" xr:uid="{00000000-0005-0000-0000-00001F240000}"/>
    <cellStyle name="SAPBEXexcGood1 3 2 3 6" xfId="9104" xr:uid="{00000000-0005-0000-0000-000020240000}"/>
    <cellStyle name="SAPBEXexcGood1 3 2 4" xfId="9105" xr:uid="{00000000-0005-0000-0000-000021240000}"/>
    <cellStyle name="SAPBEXexcGood1 3 2 4 2" xfId="9106" xr:uid="{00000000-0005-0000-0000-000022240000}"/>
    <cellStyle name="SAPBEXexcGood1 3 2 4 3" xfId="9107" xr:uid="{00000000-0005-0000-0000-000023240000}"/>
    <cellStyle name="SAPBEXexcGood1 3 2 4 4" xfId="9108" xr:uid="{00000000-0005-0000-0000-000024240000}"/>
    <cellStyle name="SAPBEXexcGood1 3 2 4 5" xfId="9109" xr:uid="{00000000-0005-0000-0000-000025240000}"/>
    <cellStyle name="SAPBEXexcGood1 3 2 4 6" xfId="9110" xr:uid="{00000000-0005-0000-0000-000026240000}"/>
    <cellStyle name="SAPBEXexcGood1 3 2 5" xfId="9111" xr:uid="{00000000-0005-0000-0000-000027240000}"/>
    <cellStyle name="SAPBEXexcGood1 3 2 5 2" xfId="9112" xr:uid="{00000000-0005-0000-0000-000028240000}"/>
    <cellStyle name="SAPBEXexcGood1 3 2 5 3" xfId="9113" xr:uid="{00000000-0005-0000-0000-000029240000}"/>
    <cellStyle name="SAPBEXexcGood1 3 2 5 4" xfId="9114" xr:uid="{00000000-0005-0000-0000-00002A240000}"/>
    <cellStyle name="SAPBEXexcGood1 3 2 5 5" xfId="9115" xr:uid="{00000000-0005-0000-0000-00002B240000}"/>
    <cellStyle name="SAPBEXexcGood1 3 2 5 6" xfId="9116" xr:uid="{00000000-0005-0000-0000-00002C240000}"/>
    <cellStyle name="SAPBEXexcGood1 3 2 6" xfId="9117" xr:uid="{00000000-0005-0000-0000-00002D240000}"/>
    <cellStyle name="SAPBEXexcGood1 3 2 7" xfId="9118" xr:uid="{00000000-0005-0000-0000-00002E240000}"/>
    <cellStyle name="SAPBEXexcGood1 3 2 8" xfId="9119" xr:uid="{00000000-0005-0000-0000-00002F240000}"/>
    <cellStyle name="SAPBEXexcGood1 3 3" xfId="9120" xr:uid="{00000000-0005-0000-0000-000030240000}"/>
    <cellStyle name="SAPBEXexcGood1 3 3 2" xfId="9121" xr:uid="{00000000-0005-0000-0000-000031240000}"/>
    <cellStyle name="SAPBEXexcGood1 3 3 3" xfId="9122" xr:uid="{00000000-0005-0000-0000-000032240000}"/>
    <cellStyle name="SAPBEXexcGood1 3 3 4" xfId="9123" xr:uid="{00000000-0005-0000-0000-000033240000}"/>
    <cellStyle name="SAPBEXexcGood1 3 3 5" xfId="9124" xr:uid="{00000000-0005-0000-0000-000034240000}"/>
    <cellStyle name="SAPBEXexcGood1 3 3 6" xfId="9125" xr:uid="{00000000-0005-0000-0000-000035240000}"/>
    <cellStyle name="SAPBEXexcGood1 3 4" xfId="9126" xr:uid="{00000000-0005-0000-0000-000036240000}"/>
    <cellStyle name="SAPBEXexcGood1 3 4 2" xfId="9127" xr:uid="{00000000-0005-0000-0000-000037240000}"/>
    <cellStyle name="SAPBEXexcGood1 3 4 3" xfId="9128" xr:uid="{00000000-0005-0000-0000-000038240000}"/>
    <cellStyle name="SAPBEXexcGood1 3 4 4" xfId="9129" xr:uid="{00000000-0005-0000-0000-000039240000}"/>
    <cellStyle name="SAPBEXexcGood1 3 4 5" xfId="9130" xr:uid="{00000000-0005-0000-0000-00003A240000}"/>
    <cellStyle name="SAPBEXexcGood1 3 4 6" xfId="9131" xr:uid="{00000000-0005-0000-0000-00003B240000}"/>
    <cellStyle name="SAPBEXexcGood1 3 5" xfId="9132" xr:uid="{00000000-0005-0000-0000-00003C240000}"/>
    <cellStyle name="SAPBEXexcGood1 3 5 2" xfId="9133" xr:uid="{00000000-0005-0000-0000-00003D240000}"/>
    <cellStyle name="SAPBEXexcGood1 3 5 3" xfId="9134" xr:uid="{00000000-0005-0000-0000-00003E240000}"/>
    <cellStyle name="SAPBEXexcGood1 3 5 4" xfId="9135" xr:uid="{00000000-0005-0000-0000-00003F240000}"/>
    <cellStyle name="SAPBEXexcGood1 3 6" xfId="9136" xr:uid="{00000000-0005-0000-0000-000040240000}"/>
    <cellStyle name="SAPBEXexcGood1 3 6 2" xfId="9137" xr:uid="{00000000-0005-0000-0000-000041240000}"/>
    <cellStyle name="SAPBEXexcGood1 3 6 3" xfId="9138" xr:uid="{00000000-0005-0000-0000-000042240000}"/>
    <cellStyle name="SAPBEXexcGood1 3 6 4" xfId="9139" xr:uid="{00000000-0005-0000-0000-000043240000}"/>
    <cellStyle name="SAPBEXexcGood1 3 7" xfId="9140" xr:uid="{00000000-0005-0000-0000-000044240000}"/>
    <cellStyle name="SAPBEXexcGood1 3 7 2" xfId="9141" xr:uid="{00000000-0005-0000-0000-000045240000}"/>
    <cellStyle name="SAPBEXexcGood1 3 7 3" xfId="9142" xr:uid="{00000000-0005-0000-0000-000046240000}"/>
    <cellStyle name="SAPBEXexcGood1 3 7 4" xfId="9143" xr:uid="{00000000-0005-0000-0000-000047240000}"/>
    <cellStyle name="SAPBEXexcGood1 3 8" xfId="9144" xr:uid="{00000000-0005-0000-0000-000048240000}"/>
    <cellStyle name="SAPBEXexcGood1 3 9" xfId="9145" xr:uid="{00000000-0005-0000-0000-000049240000}"/>
    <cellStyle name="SAPBEXexcGood1 30" xfId="9146" xr:uid="{00000000-0005-0000-0000-00004A240000}"/>
    <cellStyle name="SAPBEXexcGood1 30 2" xfId="9147" xr:uid="{00000000-0005-0000-0000-00004B240000}"/>
    <cellStyle name="SAPBEXexcGood1 30 3" xfId="9148" xr:uid="{00000000-0005-0000-0000-00004C240000}"/>
    <cellStyle name="SAPBEXexcGood1 30 4" xfId="9149" xr:uid="{00000000-0005-0000-0000-00004D240000}"/>
    <cellStyle name="SAPBEXexcGood1 30 5" xfId="9150" xr:uid="{00000000-0005-0000-0000-00004E240000}"/>
    <cellStyle name="SAPBEXexcGood1 30 6" xfId="9151" xr:uid="{00000000-0005-0000-0000-00004F240000}"/>
    <cellStyle name="SAPBEXexcGood1 31" xfId="9152" xr:uid="{00000000-0005-0000-0000-000050240000}"/>
    <cellStyle name="SAPBEXexcGood1 31 2" xfId="9153" xr:uid="{00000000-0005-0000-0000-000051240000}"/>
    <cellStyle name="SAPBEXexcGood1 31 3" xfId="9154" xr:uid="{00000000-0005-0000-0000-000052240000}"/>
    <cellStyle name="SAPBEXexcGood1 31 4" xfId="9155" xr:uid="{00000000-0005-0000-0000-000053240000}"/>
    <cellStyle name="SAPBEXexcGood1 31 5" xfId="9156" xr:uid="{00000000-0005-0000-0000-000054240000}"/>
    <cellStyle name="SAPBEXexcGood1 31 6" xfId="9157" xr:uid="{00000000-0005-0000-0000-000055240000}"/>
    <cellStyle name="SAPBEXexcGood1 32" xfId="9158" xr:uid="{00000000-0005-0000-0000-000056240000}"/>
    <cellStyle name="SAPBEXexcGood1 32 2" xfId="9159" xr:uid="{00000000-0005-0000-0000-000057240000}"/>
    <cellStyle name="SAPBEXexcGood1 32 3" xfId="9160" xr:uid="{00000000-0005-0000-0000-000058240000}"/>
    <cellStyle name="SAPBEXexcGood1 32 4" xfId="9161" xr:uid="{00000000-0005-0000-0000-000059240000}"/>
    <cellStyle name="SAPBEXexcGood1 32 5" xfId="9162" xr:uid="{00000000-0005-0000-0000-00005A240000}"/>
    <cellStyle name="SAPBEXexcGood1 32 6" xfId="9163" xr:uid="{00000000-0005-0000-0000-00005B240000}"/>
    <cellStyle name="SAPBEXexcGood1 33" xfId="9164" xr:uid="{00000000-0005-0000-0000-00005C240000}"/>
    <cellStyle name="SAPBEXexcGood1 34" xfId="9165" xr:uid="{00000000-0005-0000-0000-00005D240000}"/>
    <cellStyle name="SAPBEXexcGood1 35" xfId="9166" xr:uid="{00000000-0005-0000-0000-00005E240000}"/>
    <cellStyle name="SAPBEXexcGood1 36" xfId="27824" xr:uid="{00000000-0005-0000-0000-00005F240000}"/>
    <cellStyle name="SAPBEXexcGood1 37" xfId="27913" xr:uid="{00000000-0005-0000-0000-000060240000}"/>
    <cellStyle name="SAPBEXexcGood1 38" xfId="27978" xr:uid="{00000000-0005-0000-0000-000061240000}"/>
    <cellStyle name="SAPBEXexcGood1 39" xfId="28013" xr:uid="{00000000-0005-0000-0000-000062240000}"/>
    <cellStyle name="SAPBEXexcGood1 4" xfId="9167" xr:uid="{00000000-0005-0000-0000-000063240000}"/>
    <cellStyle name="SAPBEXexcGood1 4 2" xfId="9168" xr:uid="{00000000-0005-0000-0000-000064240000}"/>
    <cellStyle name="SAPBEXexcGood1 4 3" xfId="9169" xr:uid="{00000000-0005-0000-0000-000065240000}"/>
    <cellStyle name="SAPBEXexcGood1 4 4" xfId="9170" xr:uid="{00000000-0005-0000-0000-000066240000}"/>
    <cellStyle name="SAPBEXexcGood1 4 5" xfId="9171" xr:uid="{00000000-0005-0000-0000-000067240000}"/>
    <cellStyle name="SAPBEXexcGood1 4 6" xfId="9172" xr:uid="{00000000-0005-0000-0000-000068240000}"/>
    <cellStyle name="SAPBEXexcGood1 40" xfId="28151" xr:uid="{00000000-0005-0000-0000-000069240000}"/>
    <cellStyle name="SAPBEXexcGood1 5" xfId="9173" xr:uid="{00000000-0005-0000-0000-00006A240000}"/>
    <cellStyle name="SAPBEXexcGood1 5 2" xfId="9174" xr:uid="{00000000-0005-0000-0000-00006B240000}"/>
    <cellStyle name="SAPBEXexcGood1 5 3" xfId="9175" xr:uid="{00000000-0005-0000-0000-00006C240000}"/>
    <cellStyle name="SAPBEXexcGood1 5 4" xfId="9176" xr:uid="{00000000-0005-0000-0000-00006D240000}"/>
    <cellStyle name="SAPBEXexcGood1 5 5" xfId="9177" xr:uid="{00000000-0005-0000-0000-00006E240000}"/>
    <cellStyle name="SAPBEXexcGood1 5 6" xfId="9178" xr:uid="{00000000-0005-0000-0000-00006F240000}"/>
    <cellStyle name="SAPBEXexcGood1 6" xfId="9179" xr:uid="{00000000-0005-0000-0000-000070240000}"/>
    <cellStyle name="SAPBEXexcGood1 6 10" xfId="9180" xr:uid="{00000000-0005-0000-0000-000071240000}"/>
    <cellStyle name="SAPBEXexcGood1 6 2" xfId="9181" xr:uid="{00000000-0005-0000-0000-000072240000}"/>
    <cellStyle name="SAPBEXexcGood1 6 2 2" xfId="9182" xr:uid="{00000000-0005-0000-0000-000073240000}"/>
    <cellStyle name="SAPBEXexcGood1 6 2 3" xfId="9183" xr:uid="{00000000-0005-0000-0000-000074240000}"/>
    <cellStyle name="SAPBEXexcGood1 6 2 4" xfId="9184" xr:uid="{00000000-0005-0000-0000-000075240000}"/>
    <cellStyle name="SAPBEXexcGood1 6 3" xfId="9185" xr:uid="{00000000-0005-0000-0000-000076240000}"/>
    <cellStyle name="SAPBEXexcGood1 6 3 2" xfId="9186" xr:uid="{00000000-0005-0000-0000-000077240000}"/>
    <cellStyle name="SAPBEXexcGood1 6 3 3" xfId="9187" xr:uid="{00000000-0005-0000-0000-000078240000}"/>
    <cellStyle name="SAPBEXexcGood1 6 3 4" xfId="9188" xr:uid="{00000000-0005-0000-0000-000079240000}"/>
    <cellStyle name="SAPBEXexcGood1 6 4" xfId="9189" xr:uid="{00000000-0005-0000-0000-00007A240000}"/>
    <cellStyle name="SAPBEXexcGood1 6 4 2" xfId="9190" xr:uid="{00000000-0005-0000-0000-00007B240000}"/>
    <cellStyle name="SAPBEXexcGood1 6 4 3" xfId="9191" xr:uid="{00000000-0005-0000-0000-00007C240000}"/>
    <cellStyle name="SAPBEXexcGood1 6 4 4" xfId="9192" xr:uid="{00000000-0005-0000-0000-00007D240000}"/>
    <cellStyle name="SAPBEXexcGood1 6 5" xfId="9193" xr:uid="{00000000-0005-0000-0000-00007E240000}"/>
    <cellStyle name="SAPBEXexcGood1 6 5 2" xfId="9194" xr:uid="{00000000-0005-0000-0000-00007F240000}"/>
    <cellStyle name="SAPBEXexcGood1 6 5 3" xfId="9195" xr:uid="{00000000-0005-0000-0000-000080240000}"/>
    <cellStyle name="SAPBEXexcGood1 6 5 4" xfId="9196" xr:uid="{00000000-0005-0000-0000-000081240000}"/>
    <cellStyle name="SAPBEXexcGood1 6 6" xfId="9197" xr:uid="{00000000-0005-0000-0000-000082240000}"/>
    <cellStyle name="SAPBEXexcGood1 6 7" xfId="9198" xr:uid="{00000000-0005-0000-0000-000083240000}"/>
    <cellStyle name="SAPBEXexcGood1 6 8" xfId="9199" xr:uid="{00000000-0005-0000-0000-000084240000}"/>
    <cellStyle name="SAPBEXexcGood1 6 9" xfId="9200" xr:uid="{00000000-0005-0000-0000-000085240000}"/>
    <cellStyle name="SAPBEXexcGood1 7" xfId="9201" xr:uid="{00000000-0005-0000-0000-000086240000}"/>
    <cellStyle name="SAPBEXexcGood1 7 10" xfId="9202" xr:uid="{00000000-0005-0000-0000-000087240000}"/>
    <cellStyle name="SAPBEXexcGood1 7 2" xfId="9203" xr:uid="{00000000-0005-0000-0000-000088240000}"/>
    <cellStyle name="SAPBEXexcGood1 7 2 2" xfId="9204" xr:uid="{00000000-0005-0000-0000-000089240000}"/>
    <cellStyle name="SAPBEXexcGood1 7 2 3" xfId="9205" xr:uid="{00000000-0005-0000-0000-00008A240000}"/>
    <cellStyle name="SAPBEXexcGood1 7 2 4" xfId="9206" xr:uid="{00000000-0005-0000-0000-00008B240000}"/>
    <cellStyle name="SAPBEXexcGood1 7 3" xfId="9207" xr:uid="{00000000-0005-0000-0000-00008C240000}"/>
    <cellStyle name="SAPBEXexcGood1 7 3 2" xfId="9208" xr:uid="{00000000-0005-0000-0000-00008D240000}"/>
    <cellStyle name="SAPBEXexcGood1 7 3 3" xfId="9209" xr:uid="{00000000-0005-0000-0000-00008E240000}"/>
    <cellStyle name="SAPBEXexcGood1 7 3 4" xfId="9210" xr:uid="{00000000-0005-0000-0000-00008F240000}"/>
    <cellStyle name="SAPBEXexcGood1 7 4" xfId="9211" xr:uid="{00000000-0005-0000-0000-000090240000}"/>
    <cellStyle name="SAPBEXexcGood1 7 4 2" xfId="9212" xr:uid="{00000000-0005-0000-0000-000091240000}"/>
    <cellStyle name="SAPBEXexcGood1 7 4 3" xfId="9213" xr:uid="{00000000-0005-0000-0000-000092240000}"/>
    <cellStyle name="SAPBEXexcGood1 7 4 4" xfId="9214" xr:uid="{00000000-0005-0000-0000-000093240000}"/>
    <cellStyle name="SAPBEXexcGood1 7 5" xfId="9215" xr:uid="{00000000-0005-0000-0000-000094240000}"/>
    <cellStyle name="SAPBEXexcGood1 7 5 2" xfId="9216" xr:uid="{00000000-0005-0000-0000-000095240000}"/>
    <cellStyle name="SAPBEXexcGood1 7 5 3" xfId="9217" xr:uid="{00000000-0005-0000-0000-000096240000}"/>
    <cellStyle name="SAPBEXexcGood1 7 5 4" xfId="9218" xr:uid="{00000000-0005-0000-0000-000097240000}"/>
    <cellStyle name="SAPBEXexcGood1 7 6" xfId="9219" xr:uid="{00000000-0005-0000-0000-000098240000}"/>
    <cellStyle name="SAPBEXexcGood1 7 7" xfId="9220" xr:uid="{00000000-0005-0000-0000-000099240000}"/>
    <cellStyle name="SAPBEXexcGood1 7 8" xfId="9221" xr:uid="{00000000-0005-0000-0000-00009A240000}"/>
    <cellStyle name="SAPBEXexcGood1 7 9" xfId="9222" xr:uid="{00000000-0005-0000-0000-00009B240000}"/>
    <cellStyle name="SAPBEXexcGood1 8" xfId="9223" xr:uid="{00000000-0005-0000-0000-00009C240000}"/>
    <cellStyle name="SAPBEXexcGood1 8 2" xfId="9224" xr:uid="{00000000-0005-0000-0000-00009D240000}"/>
    <cellStyle name="SAPBEXexcGood1 8 3" xfId="9225" xr:uid="{00000000-0005-0000-0000-00009E240000}"/>
    <cellStyle name="SAPBEXexcGood1 8 4" xfId="9226" xr:uid="{00000000-0005-0000-0000-00009F240000}"/>
    <cellStyle name="SAPBEXexcGood1 8 5" xfId="9227" xr:uid="{00000000-0005-0000-0000-0000A0240000}"/>
    <cellStyle name="SAPBEXexcGood1 8 6" xfId="9228" xr:uid="{00000000-0005-0000-0000-0000A1240000}"/>
    <cellStyle name="SAPBEXexcGood1 9" xfId="9229" xr:uid="{00000000-0005-0000-0000-0000A2240000}"/>
    <cellStyle name="SAPBEXexcGood1 9 2" xfId="9230" xr:uid="{00000000-0005-0000-0000-0000A3240000}"/>
    <cellStyle name="SAPBEXexcGood1 9 3" xfId="9231" xr:uid="{00000000-0005-0000-0000-0000A4240000}"/>
    <cellStyle name="SAPBEXexcGood1 9 4" xfId="9232" xr:uid="{00000000-0005-0000-0000-0000A5240000}"/>
    <cellStyle name="SAPBEXexcGood1 9 5" xfId="9233" xr:uid="{00000000-0005-0000-0000-0000A6240000}"/>
    <cellStyle name="SAPBEXexcGood1 9 6" xfId="9234" xr:uid="{00000000-0005-0000-0000-0000A7240000}"/>
    <cellStyle name="SAPBEXexcGood1_Receipts" xfId="9235" xr:uid="{00000000-0005-0000-0000-0000A8240000}"/>
    <cellStyle name="SAPBEXexcGood2" xfId="9236" xr:uid="{00000000-0005-0000-0000-0000A9240000}"/>
    <cellStyle name="SAPBEXexcGood2 10" xfId="9237" xr:uid="{00000000-0005-0000-0000-0000AA240000}"/>
    <cellStyle name="SAPBEXexcGood2 10 2" xfId="9238" xr:uid="{00000000-0005-0000-0000-0000AB240000}"/>
    <cellStyle name="SAPBEXexcGood2 10 3" xfId="9239" xr:uid="{00000000-0005-0000-0000-0000AC240000}"/>
    <cellStyle name="SAPBEXexcGood2 10 4" xfId="9240" xr:uid="{00000000-0005-0000-0000-0000AD240000}"/>
    <cellStyle name="SAPBEXexcGood2 10 5" xfId="9241" xr:uid="{00000000-0005-0000-0000-0000AE240000}"/>
    <cellStyle name="SAPBEXexcGood2 10 6" xfId="9242" xr:uid="{00000000-0005-0000-0000-0000AF240000}"/>
    <cellStyle name="SAPBEXexcGood2 11" xfId="9243" xr:uid="{00000000-0005-0000-0000-0000B0240000}"/>
    <cellStyle name="SAPBEXexcGood2 11 2" xfId="9244" xr:uid="{00000000-0005-0000-0000-0000B1240000}"/>
    <cellStyle name="SAPBEXexcGood2 11 3" xfId="9245" xr:uid="{00000000-0005-0000-0000-0000B2240000}"/>
    <cellStyle name="SAPBEXexcGood2 11 4" xfId="9246" xr:uid="{00000000-0005-0000-0000-0000B3240000}"/>
    <cellStyle name="SAPBEXexcGood2 11 5" xfId="9247" xr:uid="{00000000-0005-0000-0000-0000B4240000}"/>
    <cellStyle name="SAPBEXexcGood2 11 6" xfId="9248" xr:uid="{00000000-0005-0000-0000-0000B5240000}"/>
    <cellStyle name="SAPBEXexcGood2 12" xfId="9249" xr:uid="{00000000-0005-0000-0000-0000B6240000}"/>
    <cellStyle name="SAPBEXexcGood2 12 2" xfId="9250" xr:uid="{00000000-0005-0000-0000-0000B7240000}"/>
    <cellStyle name="SAPBEXexcGood2 12 3" xfId="9251" xr:uid="{00000000-0005-0000-0000-0000B8240000}"/>
    <cellStyle name="SAPBEXexcGood2 12 4" xfId="9252" xr:uid="{00000000-0005-0000-0000-0000B9240000}"/>
    <cellStyle name="SAPBEXexcGood2 12 5" xfId="9253" xr:uid="{00000000-0005-0000-0000-0000BA240000}"/>
    <cellStyle name="SAPBEXexcGood2 12 6" xfId="9254" xr:uid="{00000000-0005-0000-0000-0000BB240000}"/>
    <cellStyle name="SAPBEXexcGood2 13" xfId="9255" xr:uid="{00000000-0005-0000-0000-0000BC240000}"/>
    <cellStyle name="SAPBEXexcGood2 13 2" xfId="9256" xr:uid="{00000000-0005-0000-0000-0000BD240000}"/>
    <cellStyle name="SAPBEXexcGood2 13 3" xfId="9257" xr:uid="{00000000-0005-0000-0000-0000BE240000}"/>
    <cellStyle name="SAPBEXexcGood2 13 4" xfId="9258" xr:uid="{00000000-0005-0000-0000-0000BF240000}"/>
    <cellStyle name="SAPBEXexcGood2 13 5" xfId="9259" xr:uid="{00000000-0005-0000-0000-0000C0240000}"/>
    <cellStyle name="SAPBEXexcGood2 13 6" xfId="9260" xr:uid="{00000000-0005-0000-0000-0000C1240000}"/>
    <cellStyle name="SAPBEXexcGood2 14" xfId="9261" xr:uid="{00000000-0005-0000-0000-0000C2240000}"/>
    <cellStyle name="SAPBEXexcGood2 14 2" xfId="9262" xr:uid="{00000000-0005-0000-0000-0000C3240000}"/>
    <cellStyle name="SAPBEXexcGood2 14 3" xfId="9263" xr:uid="{00000000-0005-0000-0000-0000C4240000}"/>
    <cellStyle name="SAPBEXexcGood2 14 4" xfId="9264" xr:uid="{00000000-0005-0000-0000-0000C5240000}"/>
    <cellStyle name="SAPBEXexcGood2 14 5" xfId="9265" xr:uid="{00000000-0005-0000-0000-0000C6240000}"/>
    <cellStyle name="SAPBEXexcGood2 14 6" xfId="9266" xr:uid="{00000000-0005-0000-0000-0000C7240000}"/>
    <cellStyle name="SAPBEXexcGood2 15" xfId="9267" xr:uid="{00000000-0005-0000-0000-0000C8240000}"/>
    <cellStyle name="SAPBEXexcGood2 15 2" xfId="9268" xr:uid="{00000000-0005-0000-0000-0000C9240000}"/>
    <cellStyle name="SAPBEXexcGood2 15 3" xfId="9269" xr:uid="{00000000-0005-0000-0000-0000CA240000}"/>
    <cellStyle name="SAPBEXexcGood2 15 4" xfId="9270" xr:uid="{00000000-0005-0000-0000-0000CB240000}"/>
    <cellStyle name="SAPBEXexcGood2 15 5" xfId="9271" xr:uid="{00000000-0005-0000-0000-0000CC240000}"/>
    <cellStyle name="SAPBEXexcGood2 15 6" xfId="9272" xr:uid="{00000000-0005-0000-0000-0000CD240000}"/>
    <cellStyle name="SAPBEXexcGood2 16" xfId="9273" xr:uid="{00000000-0005-0000-0000-0000CE240000}"/>
    <cellStyle name="SAPBEXexcGood2 16 2" xfId="9274" xr:uid="{00000000-0005-0000-0000-0000CF240000}"/>
    <cellStyle name="SAPBEXexcGood2 16 3" xfId="9275" xr:uid="{00000000-0005-0000-0000-0000D0240000}"/>
    <cellStyle name="SAPBEXexcGood2 16 4" xfId="9276" xr:uid="{00000000-0005-0000-0000-0000D1240000}"/>
    <cellStyle name="SAPBEXexcGood2 16 5" xfId="9277" xr:uid="{00000000-0005-0000-0000-0000D2240000}"/>
    <cellStyle name="SAPBEXexcGood2 16 6" xfId="9278" xr:uid="{00000000-0005-0000-0000-0000D3240000}"/>
    <cellStyle name="SAPBEXexcGood2 17" xfId="9279" xr:uid="{00000000-0005-0000-0000-0000D4240000}"/>
    <cellStyle name="SAPBEXexcGood2 17 2" xfId="9280" xr:uid="{00000000-0005-0000-0000-0000D5240000}"/>
    <cellStyle name="SAPBEXexcGood2 17 3" xfId="9281" xr:uid="{00000000-0005-0000-0000-0000D6240000}"/>
    <cellStyle name="SAPBEXexcGood2 17 4" xfId="9282" xr:uid="{00000000-0005-0000-0000-0000D7240000}"/>
    <cellStyle name="SAPBEXexcGood2 17 5" xfId="9283" xr:uid="{00000000-0005-0000-0000-0000D8240000}"/>
    <cellStyle name="SAPBEXexcGood2 17 6" xfId="9284" xr:uid="{00000000-0005-0000-0000-0000D9240000}"/>
    <cellStyle name="SAPBEXexcGood2 18" xfId="9285" xr:uid="{00000000-0005-0000-0000-0000DA240000}"/>
    <cellStyle name="SAPBEXexcGood2 18 2" xfId="9286" xr:uid="{00000000-0005-0000-0000-0000DB240000}"/>
    <cellStyle name="SAPBEXexcGood2 18 3" xfId="9287" xr:uid="{00000000-0005-0000-0000-0000DC240000}"/>
    <cellStyle name="SAPBEXexcGood2 18 4" xfId="9288" xr:uid="{00000000-0005-0000-0000-0000DD240000}"/>
    <cellStyle name="SAPBEXexcGood2 18 5" xfId="9289" xr:uid="{00000000-0005-0000-0000-0000DE240000}"/>
    <cellStyle name="SAPBEXexcGood2 18 6" xfId="9290" xr:uid="{00000000-0005-0000-0000-0000DF240000}"/>
    <cellStyle name="SAPBEXexcGood2 19" xfId="9291" xr:uid="{00000000-0005-0000-0000-0000E0240000}"/>
    <cellStyle name="SAPBEXexcGood2 19 2" xfId="9292" xr:uid="{00000000-0005-0000-0000-0000E1240000}"/>
    <cellStyle name="SAPBEXexcGood2 19 3" xfId="9293" xr:uid="{00000000-0005-0000-0000-0000E2240000}"/>
    <cellStyle name="SAPBEXexcGood2 19 4" xfId="9294" xr:uid="{00000000-0005-0000-0000-0000E3240000}"/>
    <cellStyle name="SAPBEXexcGood2 19 5" xfId="9295" xr:uid="{00000000-0005-0000-0000-0000E4240000}"/>
    <cellStyle name="SAPBEXexcGood2 19 6" xfId="9296" xr:uid="{00000000-0005-0000-0000-0000E5240000}"/>
    <cellStyle name="SAPBEXexcGood2 2" xfId="9297" xr:uid="{00000000-0005-0000-0000-0000E6240000}"/>
    <cellStyle name="SAPBEXexcGood2 2 10" xfId="9298" xr:uid="{00000000-0005-0000-0000-0000E7240000}"/>
    <cellStyle name="SAPBEXexcGood2 2 10 2" xfId="9299" xr:uid="{00000000-0005-0000-0000-0000E8240000}"/>
    <cellStyle name="SAPBEXexcGood2 2 10 3" xfId="9300" xr:uid="{00000000-0005-0000-0000-0000E9240000}"/>
    <cellStyle name="SAPBEXexcGood2 2 10 4" xfId="9301" xr:uid="{00000000-0005-0000-0000-0000EA240000}"/>
    <cellStyle name="SAPBEXexcGood2 2 11" xfId="9302" xr:uid="{00000000-0005-0000-0000-0000EB240000}"/>
    <cellStyle name="SAPBEXexcGood2 2 11 2" xfId="9303" xr:uid="{00000000-0005-0000-0000-0000EC240000}"/>
    <cellStyle name="SAPBEXexcGood2 2 11 3" xfId="9304" xr:uid="{00000000-0005-0000-0000-0000ED240000}"/>
    <cellStyle name="SAPBEXexcGood2 2 11 4" xfId="9305" xr:uid="{00000000-0005-0000-0000-0000EE240000}"/>
    <cellStyle name="SAPBEXexcGood2 2 12" xfId="9306" xr:uid="{00000000-0005-0000-0000-0000EF240000}"/>
    <cellStyle name="SAPBEXexcGood2 2 12 2" xfId="9307" xr:uid="{00000000-0005-0000-0000-0000F0240000}"/>
    <cellStyle name="SAPBEXexcGood2 2 12 3" xfId="9308" xr:uid="{00000000-0005-0000-0000-0000F1240000}"/>
    <cellStyle name="SAPBEXexcGood2 2 12 4" xfId="9309" xr:uid="{00000000-0005-0000-0000-0000F2240000}"/>
    <cellStyle name="SAPBEXexcGood2 2 13" xfId="9310" xr:uid="{00000000-0005-0000-0000-0000F3240000}"/>
    <cellStyle name="SAPBEXexcGood2 2 13 2" xfId="9311" xr:uid="{00000000-0005-0000-0000-0000F4240000}"/>
    <cellStyle name="SAPBEXexcGood2 2 13 3" xfId="9312" xr:uid="{00000000-0005-0000-0000-0000F5240000}"/>
    <cellStyle name="SAPBEXexcGood2 2 13 4" xfId="9313" xr:uid="{00000000-0005-0000-0000-0000F6240000}"/>
    <cellStyle name="SAPBEXexcGood2 2 14" xfId="9314" xr:uid="{00000000-0005-0000-0000-0000F7240000}"/>
    <cellStyle name="SAPBEXexcGood2 2 15" xfId="9315" xr:uid="{00000000-0005-0000-0000-0000F8240000}"/>
    <cellStyle name="SAPBEXexcGood2 2 16" xfId="9316" xr:uid="{00000000-0005-0000-0000-0000F9240000}"/>
    <cellStyle name="SAPBEXexcGood2 2 17" xfId="9317" xr:uid="{00000000-0005-0000-0000-0000FA240000}"/>
    <cellStyle name="SAPBEXexcGood2 2 18" xfId="9318" xr:uid="{00000000-0005-0000-0000-0000FB240000}"/>
    <cellStyle name="SAPBEXexcGood2 2 2" xfId="9319" xr:uid="{00000000-0005-0000-0000-0000FC240000}"/>
    <cellStyle name="SAPBEXexcGood2 2 2 2" xfId="9320" xr:uid="{00000000-0005-0000-0000-0000FD240000}"/>
    <cellStyle name="SAPBEXexcGood2 2 2 2 2" xfId="9321" xr:uid="{00000000-0005-0000-0000-0000FE240000}"/>
    <cellStyle name="SAPBEXexcGood2 2 2 2 3" xfId="9322" xr:uid="{00000000-0005-0000-0000-0000FF240000}"/>
    <cellStyle name="SAPBEXexcGood2 2 2 2 4" xfId="9323" xr:uid="{00000000-0005-0000-0000-000000250000}"/>
    <cellStyle name="SAPBEXexcGood2 2 2 2 5" xfId="9324" xr:uid="{00000000-0005-0000-0000-000001250000}"/>
    <cellStyle name="SAPBEXexcGood2 2 2 2 6" xfId="9325" xr:uid="{00000000-0005-0000-0000-000002250000}"/>
    <cellStyle name="SAPBEXexcGood2 2 2 3" xfId="9326" xr:uid="{00000000-0005-0000-0000-000003250000}"/>
    <cellStyle name="SAPBEXexcGood2 2 2 3 2" xfId="9327" xr:uid="{00000000-0005-0000-0000-000004250000}"/>
    <cellStyle name="SAPBEXexcGood2 2 2 3 3" xfId="9328" xr:uid="{00000000-0005-0000-0000-000005250000}"/>
    <cellStyle name="SAPBEXexcGood2 2 2 3 4" xfId="9329" xr:uid="{00000000-0005-0000-0000-000006250000}"/>
    <cellStyle name="SAPBEXexcGood2 2 2 3 5" xfId="9330" xr:uid="{00000000-0005-0000-0000-000007250000}"/>
    <cellStyle name="SAPBEXexcGood2 2 2 3 6" xfId="9331" xr:uid="{00000000-0005-0000-0000-000008250000}"/>
    <cellStyle name="SAPBEXexcGood2 2 2 4" xfId="9332" xr:uid="{00000000-0005-0000-0000-000009250000}"/>
    <cellStyle name="SAPBEXexcGood2 2 2 4 2" xfId="9333" xr:uid="{00000000-0005-0000-0000-00000A250000}"/>
    <cellStyle name="SAPBEXexcGood2 2 2 4 3" xfId="9334" xr:uid="{00000000-0005-0000-0000-00000B250000}"/>
    <cellStyle name="SAPBEXexcGood2 2 2 4 4" xfId="9335" xr:uid="{00000000-0005-0000-0000-00000C250000}"/>
    <cellStyle name="SAPBEXexcGood2 2 2 4 5" xfId="9336" xr:uid="{00000000-0005-0000-0000-00000D250000}"/>
    <cellStyle name="SAPBEXexcGood2 2 2 4 6" xfId="9337" xr:uid="{00000000-0005-0000-0000-00000E250000}"/>
    <cellStyle name="SAPBEXexcGood2 2 2 5" xfId="9338" xr:uid="{00000000-0005-0000-0000-00000F250000}"/>
    <cellStyle name="SAPBEXexcGood2 2 2 5 2" xfId="9339" xr:uid="{00000000-0005-0000-0000-000010250000}"/>
    <cellStyle name="SAPBEXexcGood2 2 2 5 3" xfId="9340" xr:uid="{00000000-0005-0000-0000-000011250000}"/>
    <cellStyle name="SAPBEXexcGood2 2 2 5 4" xfId="9341" xr:uid="{00000000-0005-0000-0000-000012250000}"/>
    <cellStyle name="SAPBEXexcGood2 2 2 5 5" xfId="9342" xr:uid="{00000000-0005-0000-0000-000013250000}"/>
    <cellStyle name="SAPBEXexcGood2 2 2 5 6" xfId="9343" xr:uid="{00000000-0005-0000-0000-000014250000}"/>
    <cellStyle name="SAPBEXexcGood2 2 2 6" xfId="9344" xr:uid="{00000000-0005-0000-0000-000015250000}"/>
    <cellStyle name="SAPBEXexcGood2 2 2 7" xfId="9345" xr:uid="{00000000-0005-0000-0000-000016250000}"/>
    <cellStyle name="SAPBEXexcGood2 2 2 8" xfId="9346" xr:uid="{00000000-0005-0000-0000-000017250000}"/>
    <cellStyle name="SAPBEXexcGood2 2 3" xfId="9347" xr:uid="{00000000-0005-0000-0000-000018250000}"/>
    <cellStyle name="SAPBEXexcGood2 2 3 2" xfId="9348" xr:uid="{00000000-0005-0000-0000-000019250000}"/>
    <cellStyle name="SAPBEXexcGood2 2 3 2 2" xfId="9349" xr:uid="{00000000-0005-0000-0000-00001A250000}"/>
    <cellStyle name="SAPBEXexcGood2 2 3 2 3" xfId="9350" xr:uid="{00000000-0005-0000-0000-00001B250000}"/>
    <cellStyle name="SAPBEXexcGood2 2 3 2 4" xfId="9351" xr:uid="{00000000-0005-0000-0000-00001C250000}"/>
    <cellStyle name="SAPBEXexcGood2 2 3 2 5" xfId="9352" xr:uid="{00000000-0005-0000-0000-00001D250000}"/>
    <cellStyle name="SAPBEXexcGood2 2 3 2 6" xfId="9353" xr:uid="{00000000-0005-0000-0000-00001E250000}"/>
    <cellStyle name="SAPBEXexcGood2 2 3 3" xfId="9354" xr:uid="{00000000-0005-0000-0000-00001F250000}"/>
    <cellStyle name="SAPBEXexcGood2 2 3 3 2" xfId="9355" xr:uid="{00000000-0005-0000-0000-000020250000}"/>
    <cellStyle name="SAPBEXexcGood2 2 3 3 3" xfId="9356" xr:uid="{00000000-0005-0000-0000-000021250000}"/>
    <cellStyle name="SAPBEXexcGood2 2 3 3 4" xfId="9357" xr:uid="{00000000-0005-0000-0000-000022250000}"/>
    <cellStyle name="SAPBEXexcGood2 2 3 3 5" xfId="9358" xr:uid="{00000000-0005-0000-0000-000023250000}"/>
    <cellStyle name="SAPBEXexcGood2 2 3 3 6" xfId="9359" xr:uid="{00000000-0005-0000-0000-000024250000}"/>
    <cellStyle name="SAPBEXexcGood2 2 3 4" xfId="9360" xr:uid="{00000000-0005-0000-0000-000025250000}"/>
    <cellStyle name="SAPBEXexcGood2 2 3 4 2" xfId="9361" xr:uid="{00000000-0005-0000-0000-000026250000}"/>
    <cellStyle name="SAPBEXexcGood2 2 3 4 3" xfId="9362" xr:uid="{00000000-0005-0000-0000-000027250000}"/>
    <cellStyle name="SAPBEXexcGood2 2 3 4 4" xfId="9363" xr:uid="{00000000-0005-0000-0000-000028250000}"/>
    <cellStyle name="SAPBEXexcGood2 2 3 4 5" xfId="9364" xr:uid="{00000000-0005-0000-0000-000029250000}"/>
    <cellStyle name="SAPBEXexcGood2 2 3 4 6" xfId="9365" xr:uid="{00000000-0005-0000-0000-00002A250000}"/>
    <cellStyle name="SAPBEXexcGood2 2 3 5" xfId="9366" xr:uid="{00000000-0005-0000-0000-00002B250000}"/>
    <cellStyle name="SAPBEXexcGood2 2 3 5 2" xfId="9367" xr:uid="{00000000-0005-0000-0000-00002C250000}"/>
    <cellStyle name="SAPBEXexcGood2 2 3 5 3" xfId="9368" xr:uid="{00000000-0005-0000-0000-00002D250000}"/>
    <cellStyle name="SAPBEXexcGood2 2 3 5 4" xfId="9369" xr:uid="{00000000-0005-0000-0000-00002E250000}"/>
    <cellStyle name="SAPBEXexcGood2 2 3 5 5" xfId="9370" xr:uid="{00000000-0005-0000-0000-00002F250000}"/>
    <cellStyle name="SAPBEXexcGood2 2 3 5 6" xfId="9371" xr:uid="{00000000-0005-0000-0000-000030250000}"/>
    <cellStyle name="SAPBEXexcGood2 2 3 6" xfId="9372" xr:uid="{00000000-0005-0000-0000-000031250000}"/>
    <cellStyle name="SAPBEXexcGood2 2 3 7" xfId="9373" xr:uid="{00000000-0005-0000-0000-000032250000}"/>
    <cellStyle name="SAPBEXexcGood2 2 3 8" xfId="9374" xr:uid="{00000000-0005-0000-0000-000033250000}"/>
    <cellStyle name="SAPBEXexcGood2 2 4" xfId="9375" xr:uid="{00000000-0005-0000-0000-000034250000}"/>
    <cellStyle name="SAPBEXexcGood2 2 4 2" xfId="9376" xr:uid="{00000000-0005-0000-0000-000035250000}"/>
    <cellStyle name="SAPBEXexcGood2 2 4 2 2" xfId="9377" xr:uid="{00000000-0005-0000-0000-000036250000}"/>
    <cellStyle name="SAPBEXexcGood2 2 4 2 3" xfId="9378" xr:uid="{00000000-0005-0000-0000-000037250000}"/>
    <cellStyle name="SAPBEXexcGood2 2 4 2 4" xfId="9379" xr:uid="{00000000-0005-0000-0000-000038250000}"/>
    <cellStyle name="SAPBEXexcGood2 2 4 2 5" xfId="9380" xr:uid="{00000000-0005-0000-0000-000039250000}"/>
    <cellStyle name="SAPBEXexcGood2 2 4 2 6" xfId="9381" xr:uid="{00000000-0005-0000-0000-00003A250000}"/>
    <cellStyle name="SAPBEXexcGood2 2 4 3" xfId="9382" xr:uid="{00000000-0005-0000-0000-00003B250000}"/>
    <cellStyle name="SAPBEXexcGood2 2 4 3 2" xfId="9383" xr:uid="{00000000-0005-0000-0000-00003C250000}"/>
    <cellStyle name="SAPBEXexcGood2 2 4 3 3" xfId="9384" xr:uid="{00000000-0005-0000-0000-00003D250000}"/>
    <cellStyle name="SAPBEXexcGood2 2 4 3 4" xfId="9385" xr:uid="{00000000-0005-0000-0000-00003E250000}"/>
    <cellStyle name="SAPBEXexcGood2 2 4 3 5" xfId="9386" xr:uid="{00000000-0005-0000-0000-00003F250000}"/>
    <cellStyle name="SAPBEXexcGood2 2 4 3 6" xfId="9387" xr:uid="{00000000-0005-0000-0000-000040250000}"/>
    <cellStyle name="SAPBEXexcGood2 2 4 4" xfId="9388" xr:uid="{00000000-0005-0000-0000-000041250000}"/>
    <cellStyle name="SAPBEXexcGood2 2 4 4 2" xfId="9389" xr:uid="{00000000-0005-0000-0000-000042250000}"/>
    <cellStyle name="SAPBEXexcGood2 2 4 4 3" xfId="9390" xr:uid="{00000000-0005-0000-0000-000043250000}"/>
    <cellStyle name="SAPBEXexcGood2 2 4 4 4" xfId="9391" xr:uid="{00000000-0005-0000-0000-000044250000}"/>
    <cellStyle name="SAPBEXexcGood2 2 4 4 5" xfId="9392" xr:uid="{00000000-0005-0000-0000-000045250000}"/>
    <cellStyle name="SAPBEXexcGood2 2 4 4 6" xfId="9393" xr:uid="{00000000-0005-0000-0000-000046250000}"/>
    <cellStyle name="SAPBEXexcGood2 2 4 5" xfId="9394" xr:uid="{00000000-0005-0000-0000-000047250000}"/>
    <cellStyle name="SAPBEXexcGood2 2 4 5 2" xfId="9395" xr:uid="{00000000-0005-0000-0000-000048250000}"/>
    <cellStyle name="SAPBEXexcGood2 2 4 5 3" xfId="9396" xr:uid="{00000000-0005-0000-0000-000049250000}"/>
    <cellStyle name="SAPBEXexcGood2 2 4 5 4" xfId="9397" xr:uid="{00000000-0005-0000-0000-00004A250000}"/>
    <cellStyle name="SAPBEXexcGood2 2 4 5 5" xfId="9398" xr:uid="{00000000-0005-0000-0000-00004B250000}"/>
    <cellStyle name="SAPBEXexcGood2 2 4 5 6" xfId="9399" xr:uid="{00000000-0005-0000-0000-00004C250000}"/>
    <cellStyle name="SAPBEXexcGood2 2 4 6" xfId="9400" xr:uid="{00000000-0005-0000-0000-00004D250000}"/>
    <cellStyle name="SAPBEXexcGood2 2 4 7" xfId="9401" xr:uid="{00000000-0005-0000-0000-00004E250000}"/>
    <cellStyle name="SAPBEXexcGood2 2 4 8" xfId="9402" xr:uid="{00000000-0005-0000-0000-00004F250000}"/>
    <cellStyle name="SAPBEXexcGood2 2 5" xfId="9403" xr:uid="{00000000-0005-0000-0000-000050250000}"/>
    <cellStyle name="SAPBEXexcGood2 2 5 2" xfId="9404" xr:uid="{00000000-0005-0000-0000-000051250000}"/>
    <cellStyle name="SAPBEXexcGood2 2 5 3" xfId="9405" xr:uid="{00000000-0005-0000-0000-000052250000}"/>
    <cellStyle name="SAPBEXexcGood2 2 5 4" xfId="9406" xr:uid="{00000000-0005-0000-0000-000053250000}"/>
    <cellStyle name="SAPBEXexcGood2 2 6" xfId="9407" xr:uid="{00000000-0005-0000-0000-000054250000}"/>
    <cellStyle name="SAPBEXexcGood2 2 6 2" xfId="9408" xr:uid="{00000000-0005-0000-0000-000055250000}"/>
    <cellStyle name="SAPBEXexcGood2 2 6 3" xfId="9409" xr:uid="{00000000-0005-0000-0000-000056250000}"/>
    <cellStyle name="SAPBEXexcGood2 2 6 4" xfId="9410" xr:uid="{00000000-0005-0000-0000-000057250000}"/>
    <cellStyle name="SAPBEXexcGood2 2 7" xfId="9411" xr:uid="{00000000-0005-0000-0000-000058250000}"/>
    <cellStyle name="SAPBEXexcGood2 2 7 2" xfId="9412" xr:uid="{00000000-0005-0000-0000-000059250000}"/>
    <cellStyle name="SAPBEXexcGood2 2 7 3" xfId="9413" xr:uid="{00000000-0005-0000-0000-00005A250000}"/>
    <cellStyle name="SAPBEXexcGood2 2 7 4" xfId="9414" xr:uid="{00000000-0005-0000-0000-00005B250000}"/>
    <cellStyle name="SAPBEXexcGood2 2 8" xfId="9415" xr:uid="{00000000-0005-0000-0000-00005C250000}"/>
    <cellStyle name="SAPBEXexcGood2 2 8 2" xfId="9416" xr:uid="{00000000-0005-0000-0000-00005D250000}"/>
    <cellStyle name="SAPBEXexcGood2 2 8 3" xfId="9417" xr:uid="{00000000-0005-0000-0000-00005E250000}"/>
    <cellStyle name="SAPBEXexcGood2 2 8 4" xfId="9418" xr:uid="{00000000-0005-0000-0000-00005F250000}"/>
    <cellStyle name="SAPBEXexcGood2 2 9" xfId="9419" xr:uid="{00000000-0005-0000-0000-000060250000}"/>
    <cellStyle name="SAPBEXexcGood2 2 9 2" xfId="9420" xr:uid="{00000000-0005-0000-0000-000061250000}"/>
    <cellStyle name="SAPBEXexcGood2 2 9 3" xfId="9421" xr:uid="{00000000-0005-0000-0000-000062250000}"/>
    <cellStyle name="SAPBEXexcGood2 2 9 4" xfId="9422" xr:uid="{00000000-0005-0000-0000-000063250000}"/>
    <cellStyle name="SAPBEXexcGood2 20" xfId="9423" xr:uid="{00000000-0005-0000-0000-000064250000}"/>
    <cellStyle name="SAPBEXexcGood2 20 2" xfId="9424" xr:uid="{00000000-0005-0000-0000-000065250000}"/>
    <cellStyle name="SAPBEXexcGood2 20 3" xfId="9425" xr:uid="{00000000-0005-0000-0000-000066250000}"/>
    <cellStyle name="SAPBEXexcGood2 20 4" xfId="9426" xr:uid="{00000000-0005-0000-0000-000067250000}"/>
    <cellStyle name="SAPBEXexcGood2 20 5" xfId="9427" xr:uid="{00000000-0005-0000-0000-000068250000}"/>
    <cellStyle name="SAPBEXexcGood2 20 6" xfId="9428" xr:uid="{00000000-0005-0000-0000-000069250000}"/>
    <cellStyle name="SAPBEXexcGood2 21" xfId="9429" xr:uid="{00000000-0005-0000-0000-00006A250000}"/>
    <cellStyle name="SAPBEXexcGood2 21 2" xfId="9430" xr:uid="{00000000-0005-0000-0000-00006B250000}"/>
    <cellStyle name="SAPBEXexcGood2 21 3" xfId="9431" xr:uid="{00000000-0005-0000-0000-00006C250000}"/>
    <cellStyle name="SAPBEXexcGood2 21 4" xfId="9432" xr:uid="{00000000-0005-0000-0000-00006D250000}"/>
    <cellStyle name="SAPBEXexcGood2 21 5" xfId="9433" xr:uid="{00000000-0005-0000-0000-00006E250000}"/>
    <cellStyle name="SAPBEXexcGood2 21 6" xfId="9434" xr:uid="{00000000-0005-0000-0000-00006F250000}"/>
    <cellStyle name="SAPBEXexcGood2 22" xfId="9435" xr:uid="{00000000-0005-0000-0000-000070250000}"/>
    <cellStyle name="SAPBEXexcGood2 22 2" xfId="9436" xr:uid="{00000000-0005-0000-0000-000071250000}"/>
    <cellStyle name="SAPBEXexcGood2 22 3" xfId="9437" xr:uid="{00000000-0005-0000-0000-000072250000}"/>
    <cellStyle name="SAPBEXexcGood2 22 4" xfId="9438" xr:uid="{00000000-0005-0000-0000-000073250000}"/>
    <cellStyle name="SAPBEXexcGood2 22 5" xfId="9439" xr:uid="{00000000-0005-0000-0000-000074250000}"/>
    <cellStyle name="SAPBEXexcGood2 22 6" xfId="9440" xr:uid="{00000000-0005-0000-0000-000075250000}"/>
    <cellStyle name="SAPBEXexcGood2 23" xfId="9441" xr:uid="{00000000-0005-0000-0000-000076250000}"/>
    <cellStyle name="SAPBEXexcGood2 23 2" xfId="9442" xr:uid="{00000000-0005-0000-0000-000077250000}"/>
    <cellStyle name="SAPBEXexcGood2 23 3" xfId="9443" xr:uid="{00000000-0005-0000-0000-000078250000}"/>
    <cellStyle name="SAPBEXexcGood2 23 4" xfId="9444" xr:uid="{00000000-0005-0000-0000-000079250000}"/>
    <cellStyle name="SAPBEXexcGood2 23 5" xfId="9445" xr:uid="{00000000-0005-0000-0000-00007A250000}"/>
    <cellStyle name="SAPBEXexcGood2 23 6" xfId="9446" xr:uid="{00000000-0005-0000-0000-00007B250000}"/>
    <cellStyle name="SAPBEXexcGood2 24" xfId="9447" xr:uid="{00000000-0005-0000-0000-00007C250000}"/>
    <cellStyle name="SAPBEXexcGood2 24 2" xfId="9448" xr:uid="{00000000-0005-0000-0000-00007D250000}"/>
    <cellStyle name="SAPBEXexcGood2 24 3" xfId="9449" xr:uid="{00000000-0005-0000-0000-00007E250000}"/>
    <cellStyle name="SAPBEXexcGood2 24 4" xfId="9450" xr:uid="{00000000-0005-0000-0000-00007F250000}"/>
    <cellStyle name="SAPBEXexcGood2 24 5" xfId="9451" xr:uid="{00000000-0005-0000-0000-000080250000}"/>
    <cellStyle name="SAPBEXexcGood2 24 6" xfId="9452" xr:uid="{00000000-0005-0000-0000-000081250000}"/>
    <cellStyle name="SAPBEXexcGood2 25" xfId="9453" xr:uid="{00000000-0005-0000-0000-000082250000}"/>
    <cellStyle name="SAPBEXexcGood2 25 2" xfId="9454" xr:uid="{00000000-0005-0000-0000-000083250000}"/>
    <cellStyle name="SAPBEXexcGood2 25 3" xfId="9455" xr:uid="{00000000-0005-0000-0000-000084250000}"/>
    <cellStyle name="SAPBEXexcGood2 25 4" xfId="9456" xr:uid="{00000000-0005-0000-0000-000085250000}"/>
    <cellStyle name="SAPBEXexcGood2 25 5" xfId="9457" xr:uid="{00000000-0005-0000-0000-000086250000}"/>
    <cellStyle name="SAPBEXexcGood2 25 6" xfId="9458" xr:uid="{00000000-0005-0000-0000-000087250000}"/>
    <cellStyle name="SAPBEXexcGood2 26" xfId="9459" xr:uid="{00000000-0005-0000-0000-000088250000}"/>
    <cellStyle name="SAPBEXexcGood2 26 2" xfId="9460" xr:uid="{00000000-0005-0000-0000-000089250000}"/>
    <cellStyle name="SAPBEXexcGood2 26 3" xfId="9461" xr:uid="{00000000-0005-0000-0000-00008A250000}"/>
    <cellStyle name="SAPBEXexcGood2 26 4" xfId="9462" xr:uid="{00000000-0005-0000-0000-00008B250000}"/>
    <cellStyle name="SAPBEXexcGood2 26 5" xfId="9463" xr:uid="{00000000-0005-0000-0000-00008C250000}"/>
    <cellStyle name="SAPBEXexcGood2 26 6" xfId="9464" xr:uid="{00000000-0005-0000-0000-00008D250000}"/>
    <cellStyle name="SAPBEXexcGood2 27" xfId="9465" xr:uid="{00000000-0005-0000-0000-00008E250000}"/>
    <cellStyle name="SAPBEXexcGood2 27 2" xfId="9466" xr:uid="{00000000-0005-0000-0000-00008F250000}"/>
    <cellStyle name="SAPBEXexcGood2 27 3" xfId="9467" xr:uid="{00000000-0005-0000-0000-000090250000}"/>
    <cellStyle name="SAPBEXexcGood2 27 4" xfId="9468" xr:uid="{00000000-0005-0000-0000-000091250000}"/>
    <cellStyle name="SAPBEXexcGood2 27 5" xfId="9469" xr:uid="{00000000-0005-0000-0000-000092250000}"/>
    <cellStyle name="SAPBEXexcGood2 27 6" xfId="9470" xr:uid="{00000000-0005-0000-0000-000093250000}"/>
    <cellStyle name="SAPBEXexcGood2 28" xfId="9471" xr:uid="{00000000-0005-0000-0000-000094250000}"/>
    <cellStyle name="SAPBEXexcGood2 28 2" xfId="9472" xr:uid="{00000000-0005-0000-0000-000095250000}"/>
    <cellStyle name="SAPBEXexcGood2 28 3" xfId="9473" xr:uid="{00000000-0005-0000-0000-000096250000}"/>
    <cellStyle name="SAPBEXexcGood2 28 4" xfId="9474" xr:uid="{00000000-0005-0000-0000-000097250000}"/>
    <cellStyle name="SAPBEXexcGood2 28 5" xfId="9475" xr:uid="{00000000-0005-0000-0000-000098250000}"/>
    <cellStyle name="SAPBEXexcGood2 28 6" xfId="9476" xr:uid="{00000000-0005-0000-0000-000099250000}"/>
    <cellStyle name="SAPBEXexcGood2 29" xfId="9477" xr:uid="{00000000-0005-0000-0000-00009A250000}"/>
    <cellStyle name="SAPBEXexcGood2 29 2" xfId="9478" xr:uid="{00000000-0005-0000-0000-00009B250000}"/>
    <cellStyle name="SAPBEXexcGood2 29 3" xfId="9479" xr:uid="{00000000-0005-0000-0000-00009C250000}"/>
    <cellStyle name="SAPBEXexcGood2 29 4" xfId="9480" xr:uid="{00000000-0005-0000-0000-00009D250000}"/>
    <cellStyle name="SAPBEXexcGood2 29 5" xfId="9481" xr:uid="{00000000-0005-0000-0000-00009E250000}"/>
    <cellStyle name="SAPBEXexcGood2 29 6" xfId="9482" xr:uid="{00000000-0005-0000-0000-00009F250000}"/>
    <cellStyle name="SAPBEXexcGood2 3" xfId="9483" xr:uid="{00000000-0005-0000-0000-0000A0250000}"/>
    <cellStyle name="SAPBEXexcGood2 3 10" xfId="9484" xr:uid="{00000000-0005-0000-0000-0000A1250000}"/>
    <cellStyle name="SAPBEXexcGood2 3 11" xfId="9485" xr:uid="{00000000-0005-0000-0000-0000A2250000}"/>
    <cellStyle name="SAPBEXexcGood2 3 12" xfId="9486" xr:uid="{00000000-0005-0000-0000-0000A3250000}"/>
    <cellStyle name="SAPBEXexcGood2 3 2" xfId="9487" xr:uid="{00000000-0005-0000-0000-0000A4250000}"/>
    <cellStyle name="SAPBEXexcGood2 3 2 2" xfId="9488" xr:uid="{00000000-0005-0000-0000-0000A5250000}"/>
    <cellStyle name="SAPBEXexcGood2 3 2 2 2" xfId="9489" xr:uid="{00000000-0005-0000-0000-0000A6250000}"/>
    <cellStyle name="SAPBEXexcGood2 3 2 2 3" xfId="9490" xr:uid="{00000000-0005-0000-0000-0000A7250000}"/>
    <cellStyle name="SAPBEXexcGood2 3 2 2 4" xfId="9491" xr:uid="{00000000-0005-0000-0000-0000A8250000}"/>
    <cellStyle name="SAPBEXexcGood2 3 2 2 5" xfId="9492" xr:uid="{00000000-0005-0000-0000-0000A9250000}"/>
    <cellStyle name="SAPBEXexcGood2 3 2 2 6" xfId="9493" xr:uid="{00000000-0005-0000-0000-0000AA250000}"/>
    <cellStyle name="SAPBEXexcGood2 3 2 3" xfId="9494" xr:uid="{00000000-0005-0000-0000-0000AB250000}"/>
    <cellStyle name="SAPBEXexcGood2 3 2 3 2" xfId="9495" xr:uid="{00000000-0005-0000-0000-0000AC250000}"/>
    <cellStyle name="SAPBEXexcGood2 3 2 3 3" xfId="9496" xr:uid="{00000000-0005-0000-0000-0000AD250000}"/>
    <cellStyle name="SAPBEXexcGood2 3 2 3 4" xfId="9497" xr:uid="{00000000-0005-0000-0000-0000AE250000}"/>
    <cellStyle name="SAPBEXexcGood2 3 2 3 5" xfId="9498" xr:uid="{00000000-0005-0000-0000-0000AF250000}"/>
    <cellStyle name="SAPBEXexcGood2 3 2 3 6" xfId="9499" xr:uid="{00000000-0005-0000-0000-0000B0250000}"/>
    <cellStyle name="SAPBEXexcGood2 3 2 4" xfId="9500" xr:uid="{00000000-0005-0000-0000-0000B1250000}"/>
    <cellStyle name="SAPBEXexcGood2 3 2 4 2" xfId="9501" xr:uid="{00000000-0005-0000-0000-0000B2250000}"/>
    <cellStyle name="SAPBEXexcGood2 3 2 4 3" xfId="9502" xr:uid="{00000000-0005-0000-0000-0000B3250000}"/>
    <cellStyle name="SAPBEXexcGood2 3 2 4 4" xfId="9503" xr:uid="{00000000-0005-0000-0000-0000B4250000}"/>
    <cellStyle name="SAPBEXexcGood2 3 2 4 5" xfId="9504" xr:uid="{00000000-0005-0000-0000-0000B5250000}"/>
    <cellStyle name="SAPBEXexcGood2 3 2 4 6" xfId="9505" xr:uid="{00000000-0005-0000-0000-0000B6250000}"/>
    <cellStyle name="SAPBEXexcGood2 3 2 5" xfId="9506" xr:uid="{00000000-0005-0000-0000-0000B7250000}"/>
    <cellStyle name="SAPBEXexcGood2 3 2 5 2" xfId="9507" xr:uid="{00000000-0005-0000-0000-0000B8250000}"/>
    <cellStyle name="SAPBEXexcGood2 3 2 5 3" xfId="9508" xr:uid="{00000000-0005-0000-0000-0000B9250000}"/>
    <cellStyle name="SAPBEXexcGood2 3 2 5 4" xfId="9509" xr:uid="{00000000-0005-0000-0000-0000BA250000}"/>
    <cellStyle name="SAPBEXexcGood2 3 2 5 5" xfId="9510" xr:uid="{00000000-0005-0000-0000-0000BB250000}"/>
    <cellStyle name="SAPBEXexcGood2 3 2 5 6" xfId="9511" xr:uid="{00000000-0005-0000-0000-0000BC250000}"/>
    <cellStyle name="SAPBEXexcGood2 3 2 6" xfId="9512" xr:uid="{00000000-0005-0000-0000-0000BD250000}"/>
    <cellStyle name="SAPBEXexcGood2 3 2 7" xfId="9513" xr:uid="{00000000-0005-0000-0000-0000BE250000}"/>
    <cellStyle name="SAPBEXexcGood2 3 2 8" xfId="9514" xr:uid="{00000000-0005-0000-0000-0000BF250000}"/>
    <cellStyle name="SAPBEXexcGood2 3 3" xfId="9515" xr:uid="{00000000-0005-0000-0000-0000C0250000}"/>
    <cellStyle name="SAPBEXexcGood2 3 3 2" xfId="9516" xr:uid="{00000000-0005-0000-0000-0000C1250000}"/>
    <cellStyle name="SAPBEXexcGood2 3 3 3" xfId="9517" xr:uid="{00000000-0005-0000-0000-0000C2250000}"/>
    <cellStyle name="SAPBEXexcGood2 3 3 4" xfId="9518" xr:uid="{00000000-0005-0000-0000-0000C3250000}"/>
    <cellStyle name="SAPBEXexcGood2 3 3 5" xfId="9519" xr:uid="{00000000-0005-0000-0000-0000C4250000}"/>
    <cellStyle name="SAPBEXexcGood2 3 3 6" xfId="9520" xr:uid="{00000000-0005-0000-0000-0000C5250000}"/>
    <cellStyle name="SAPBEXexcGood2 3 4" xfId="9521" xr:uid="{00000000-0005-0000-0000-0000C6250000}"/>
    <cellStyle name="SAPBEXexcGood2 3 4 2" xfId="9522" xr:uid="{00000000-0005-0000-0000-0000C7250000}"/>
    <cellStyle name="SAPBEXexcGood2 3 4 3" xfId="9523" xr:uid="{00000000-0005-0000-0000-0000C8250000}"/>
    <cellStyle name="SAPBEXexcGood2 3 4 4" xfId="9524" xr:uid="{00000000-0005-0000-0000-0000C9250000}"/>
    <cellStyle name="SAPBEXexcGood2 3 4 5" xfId="9525" xr:uid="{00000000-0005-0000-0000-0000CA250000}"/>
    <cellStyle name="SAPBEXexcGood2 3 4 6" xfId="9526" xr:uid="{00000000-0005-0000-0000-0000CB250000}"/>
    <cellStyle name="SAPBEXexcGood2 3 5" xfId="9527" xr:uid="{00000000-0005-0000-0000-0000CC250000}"/>
    <cellStyle name="SAPBEXexcGood2 3 5 2" xfId="9528" xr:uid="{00000000-0005-0000-0000-0000CD250000}"/>
    <cellStyle name="SAPBEXexcGood2 3 5 3" xfId="9529" xr:uid="{00000000-0005-0000-0000-0000CE250000}"/>
    <cellStyle name="SAPBEXexcGood2 3 5 4" xfId="9530" xr:uid="{00000000-0005-0000-0000-0000CF250000}"/>
    <cellStyle name="SAPBEXexcGood2 3 6" xfId="9531" xr:uid="{00000000-0005-0000-0000-0000D0250000}"/>
    <cellStyle name="SAPBEXexcGood2 3 6 2" xfId="9532" xr:uid="{00000000-0005-0000-0000-0000D1250000}"/>
    <cellStyle name="SAPBEXexcGood2 3 6 3" xfId="9533" xr:uid="{00000000-0005-0000-0000-0000D2250000}"/>
    <cellStyle name="SAPBEXexcGood2 3 6 4" xfId="9534" xr:uid="{00000000-0005-0000-0000-0000D3250000}"/>
    <cellStyle name="SAPBEXexcGood2 3 7" xfId="9535" xr:uid="{00000000-0005-0000-0000-0000D4250000}"/>
    <cellStyle name="SAPBEXexcGood2 3 7 2" xfId="9536" xr:uid="{00000000-0005-0000-0000-0000D5250000}"/>
    <cellStyle name="SAPBEXexcGood2 3 7 3" xfId="9537" xr:uid="{00000000-0005-0000-0000-0000D6250000}"/>
    <cellStyle name="SAPBEXexcGood2 3 7 4" xfId="9538" xr:uid="{00000000-0005-0000-0000-0000D7250000}"/>
    <cellStyle name="SAPBEXexcGood2 3 8" xfId="9539" xr:uid="{00000000-0005-0000-0000-0000D8250000}"/>
    <cellStyle name="SAPBEXexcGood2 3 9" xfId="9540" xr:uid="{00000000-0005-0000-0000-0000D9250000}"/>
    <cellStyle name="SAPBEXexcGood2 30" xfId="9541" xr:uid="{00000000-0005-0000-0000-0000DA250000}"/>
    <cellStyle name="SAPBEXexcGood2 30 2" xfId="9542" xr:uid="{00000000-0005-0000-0000-0000DB250000}"/>
    <cellStyle name="SAPBEXexcGood2 30 3" xfId="9543" xr:uid="{00000000-0005-0000-0000-0000DC250000}"/>
    <cellStyle name="SAPBEXexcGood2 30 4" xfId="9544" xr:uid="{00000000-0005-0000-0000-0000DD250000}"/>
    <cellStyle name="SAPBEXexcGood2 30 5" xfId="9545" xr:uid="{00000000-0005-0000-0000-0000DE250000}"/>
    <cellStyle name="SAPBEXexcGood2 30 6" xfId="9546" xr:uid="{00000000-0005-0000-0000-0000DF250000}"/>
    <cellStyle name="SAPBEXexcGood2 31" xfId="9547" xr:uid="{00000000-0005-0000-0000-0000E0250000}"/>
    <cellStyle name="SAPBEXexcGood2 31 2" xfId="9548" xr:uid="{00000000-0005-0000-0000-0000E1250000}"/>
    <cellStyle name="SAPBEXexcGood2 31 3" xfId="9549" xr:uid="{00000000-0005-0000-0000-0000E2250000}"/>
    <cellStyle name="SAPBEXexcGood2 31 4" xfId="9550" xr:uid="{00000000-0005-0000-0000-0000E3250000}"/>
    <cellStyle name="SAPBEXexcGood2 31 5" xfId="9551" xr:uid="{00000000-0005-0000-0000-0000E4250000}"/>
    <cellStyle name="SAPBEXexcGood2 31 6" xfId="9552" xr:uid="{00000000-0005-0000-0000-0000E5250000}"/>
    <cellStyle name="SAPBEXexcGood2 32" xfId="9553" xr:uid="{00000000-0005-0000-0000-0000E6250000}"/>
    <cellStyle name="SAPBEXexcGood2 32 2" xfId="9554" xr:uid="{00000000-0005-0000-0000-0000E7250000}"/>
    <cellStyle name="SAPBEXexcGood2 32 3" xfId="9555" xr:uid="{00000000-0005-0000-0000-0000E8250000}"/>
    <cellStyle name="SAPBEXexcGood2 32 4" xfId="9556" xr:uid="{00000000-0005-0000-0000-0000E9250000}"/>
    <cellStyle name="SAPBEXexcGood2 32 5" xfId="9557" xr:uid="{00000000-0005-0000-0000-0000EA250000}"/>
    <cellStyle name="SAPBEXexcGood2 32 6" xfId="9558" xr:uid="{00000000-0005-0000-0000-0000EB250000}"/>
    <cellStyle name="SAPBEXexcGood2 33" xfId="9559" xr:uid="{00000000-0005-0000-0000-0000EC250000}"/>
    <cellStyle name="SAPBEXexcGood2 34" xfId="9560" xr:uid="{00000000-0005-0000-0000-0000ED250000}"/>
    <cellStyle name="SAPBEXexcGood2 35" xfId="9561" xr:uid="{00000000-0005-0000-0000-0000EE250000}"/>
    <cellStyle name="SAPBEXexcGood2 36" xfId="27823" xr:uid="{00000000-0005-0000-0000-0000EF250000}"/>
    <cellStyle name="SAPBEXexcGood2 37" xfId="27914" xr:uid="{00000000-0005-0000-0000-0000F0250000}"/>
    <cellStyle name="SAPBEXexcGood2 38" xfId="27979" xr:uid="{00000000-0005-0000-0000-0000F1250000}"/>
    <cellStyle name="SAPBEXexcGood2 39" xfId="28014" xr:uid="{00000000-0005-0000-0000-0000F2250000}"/>
    <cellStyle name="SAPBEXexcGood2 4" xfId="9562" xr:uid="{00000000-0005-0000-0000-0000F3250000}"/>
    <cellStyle name="SAPBEXexcGood2 4 2" xfId="9563" xr:uid="{00000000-0005-0000-0000-0000F4250000}"/>
    <cellStyle name="SAPBEXexcGood2 4 3" xfId="9564" xr:uid="{00000000-0005-0000-0000-0000F5250000}"/>
    <cellStyle name="SAPBEXexcGood2 4 4" xfId="9565" xr:uid="{00000000-0005-0000-0000-0000F6250000}"/>
    <cellStyle name="SAPBEXexcGood2 4 5" xfId="9566" xr:uid="{00000000-0005-0000-0000-0000F7250000}"/>
    <cellStyle name="SAPBEXexcGood2 4 6" xfId="9567" xr:uid="{00000000-0005-0000-0000-0000F8250000}"/>
    <cellStyle name="SAPBEXexcGood2 40" xfId="28152" xr:uid="{00000000-0005-0000-0000-0000F9250000}"/>
    <cellStyle name="SAPBEXexcGood2 5" xfId="9568" xr:uid="{00000000-0005-0000-0000-0000FA250000}"/>
    <cellStyle name="SAPBEXexcGood2 5 2" xfId="9569" xr:uid="{00000000-0005-0000-0000-0000FB250000}"/>
    <cellStyle name="SAPBEXexcGood2 5 3" xfId="9570" xr:uid="{00000000-0005-0000-0000-0000FC250000}"/>
    <cellStyle name="SAPBEXexcGood2 5 4" xfId="9571" xr:uid="{00000000-0005-0000-0000-0000FD250000}"/>
    <cellStyle name="SAPBEXexcGood2 5 5" xfId="9572" xr:uid="{00000000-0005-0000-0000-0000FE250000}"/>
    <cellStyle name="SAPBEXexcGood2 5 6" xfId="9573" xr:uid="{00000000-0005-0000-0000-0000FF250000}"/>
    <cellStyle name="SAPBEXexcGood2 6" xfId="9574" xr:uid="{00000000-0005-0000-0000-000000260000}"/>
    <cellStyle name="SAPBEXexcGood2 6 10" xfId="9575" xr:uid="{00000000-0005-0000-0000-000001260000}"/>
    <cellStyle name="SAPBEXexcGood2 6 2" xfId="9576" xr:uid="{00000000-0005-0000-0000-000002260000}"/>
    <cellStyle name="SAPBEXexcGood2 6 2 2" xfId="9577" xr:uid="{00000000-0005-0000-0000-000003260000}"/>
    <cellStyle name="SAPBEXexcGood2 6 2 3" xfId="9578" xr:uid="{00000000-0005-0000-0000-000004260000}"/>
    <cellStyle name="SAPBEXexcGood2 6 2 4" xfId="9579" xr:uid="{00000000-0005-0000-0000-000005260000}"/>
    <cellStyle name="SAPBEXexcGood2 6 3" xfId="9580" xr:uid="{00000000-0005-0000-0000-000006260000}"/>
    <cellStyle name="SAPBEXexcGood2 6 3 2" xfId="9581" xr:uid="{00000000-0005-0000-0000-000007260000}"/>
    <cellStyle name="SAPBEXexcGood2 6 3 3" xfId="9582" xr:uid="{00000000-0005-0000-0000-000008260000}"/>
    <cellStyle name="SAPBEXexcGood2 6 3 4" xfId="9583" xr:uid="{00000000-0005-0000-0000-000009260000}"/>
    <cellStyle name="SAPBEXexcGood2 6 4" xfId="9584" xr:uid="{00000000-0005-0000-0000-00000A260000}"/>
    <cellStyle name="SAPBEXexcGood2 6 4 2" xfId="9585" xr:uid="{00000000-0005-0000-0000-00000B260000}"/>
    <cellStyle name="SAPBEXexcGood2 6 4 3" xfId="9586" xr:uid="{00000000-0005-0000-0000-00000C260000}"/>
    <cellStyle name="SAPBEXexcGood2 6 4 4" xfId="9587" xr:uid="{00000000-0005-0000-0000-00000D260000}"/>
    <cellStyle name="SAPBEXexcGood2 6 5" xfId="9588" xr:uid="{00000000-0005-0000-0000-00000E260000}"/>
    <cellStyle name="SAPBEXexcGood2 6 5 2" xfId="9589" xr:uid="{00000000-0005-0000-0000-00000F260000}"/>
    <cellStyle name="SAPBEXexcGood2 6 5 3" xfId="9590" xr:uid="{00000000-0005-0000-0000-000010260000}"/>
    <cellStyle name="SAPBEXexcGood2 6 5 4" xfId="9591" xr:uid="{00000000-0005-0000-0000-000011260000}"/>
    <cellStyle name="SAPBEXexcGood2 6 6" xfId="9592" xr:uid="{00000000-0005-0000-0000-000012260000}"/>
    <cellStyle name="SAPBEXexcGood2 6 7" xfId="9593" xr:uid="{00000000-0005-0000-0000-000013260000}"/>
    <cellStyle name="SAPBEXexcGood2 6 8" xfId="9594" xr:uid="{00000000-0005-0000-0000-000014260000}"/>
    <cellStyle name="SAPBEXexcGood2 6 9" xfId="9595" xr:uid="{00000000-0005-0000-0000-000015260000}"/>
    <cellStyle name="SAPBEXexcGood2 7" xfId="9596" xr:uid="{00000000-0005-0000-0000-000016260000}"/>
    <cellStyle name="SAPBEXexcGood2 7 10" xfId="9597" xr:uid="{00000000-0005-0000-0000-000017260000}"/>
    <cellStyle name="SAPBEXexcGood2 7 2" xfId="9598" xr:uid="{00000000-0005-0000-0000-000018260000}"/>
    <cellStyle name="SAPBEXexcGood2 7 2 2" xfId="9599" xr:uid="{00000000-0005-0000-0000-000019260000}"/>
    <cellStyle name="SAPBEXexcGood2 7 2 3" xfId="9600" xr:uid="{00000000-0005-0000-0000-00001A260000}"/>
    <cellStyle name="SAPBEXexcGood2 7 2 4" xfId="9601" xr:uid="{00000000-0005-0000-0000-00001B260000}"/>
    <cellStyle name="SAPBEXexcGood2 7 3" xfId="9602" xr:uid="{00000000-0005-0000-0000-00001C260000}"/>
    <cellStyle name="SAPBEXexcGood2 7 3 2" xfId="9603" xr:uid="{00000000-0005-0000-0000-00001D260000}"/>
    <cellStyle name="SAPBEXexcGood2 7 3 3" xfId="9604" xr:uid="{00000000-0005-0000-0000-00001E260000}"/>
    <cellStyle name="SAPBEXexcGood2 7 3 4" xfId="9605" xr:uid="{00000000-0005-0000-0000-00001F260000}"/>
    <cellStyle name="SAPBEXexcGood2 7 4" xfId="9606" xr:uid="{00000000-0005-0000-0000-000020260000}"/>
    <cellStyle name="SAPBEXexcGood2 7 4 2" xfId="9607" xr:uid="{00000000-0005-0000-0000-000021260000}"/>
    <cellStyle name="SAPBEXexcGood2 7 4 3" xfId="9608" xr:uid="{00000000-0005-0000-0000-000022260000}"/>
    <cellStyle name="SAPBEXexcGood2 7 4 4" xfId="9609" xr:uid="{00000000-0005-0000-0000-000023260000}"/>
    <cellStyle name="SAPBEXexcGood2 7 5" xfId="9610" xr:uid="{00000000-0005-0000-0000-000024260000}"/>
    <cellStyle name="SAPBEXexcGood2 7 5 2" xfId="9611" xr:uid="{00000000-0005-0000-0000-000025260000}"/>
    <cellStyle name="SAPBEXexcGood2 7 5 3" xfId="9612" xr:uid="{00000000-0005-0000-0000-000026260000}"/>
    <cellStyle name="SAPBEXexcGood2 7 5 4" xfId="9613" xr:uid="{00000000-0005-0000-0000-000027260000}"/>
    <cellStyle name="SAPBEXexcGood2 7 6" xfId="9614" xr:uid="{00000000-0005-0000-0000-000028260000}"/>
    <cellStyle name="SAPBEXexcGood2 7 7" xfId="9615" xr:uid="{00000000-0005-0000-0000-000029260000}"/>
    <cellStyle name="SAPBEXexcGood2 7 8" xfId="9616" xr:uid="{00000000-0005-0000-0000-00002A260000}"/>
    <cellStyle name="SAPBEXexcGood2 7 9" xfId="9617" xr:uid="{00000000-0005-0000-0000-00002B260000}"/>
    <cellStyle name="SAPBEXexcGood2 8" xfId="9618" xr:uid="{00000000-0005-0000-0000-00002C260000}"/>
    <cellStyle name="SAPBEXexcGood2 8 2" xfId="9619" xr:uid="{00000000-0005-0000-0000-00002D260000}"/>
    <cellStyle name="SAPBEXexcGood2 8 3" xfId="9620" xr:uid="{00000000-0005-0000-0000-00002E260000}"/>
    <cellStyle name="SAPBEXexcGood2 8 4" xfId="9621" xr:uid="{00000000-0005-0000-0000-00002F260000}"/>
    <cellStyle name="SAPBEXexcGood2 8 5" xfId="9622" xr:uid="{00000000-0005-0000-0000-000030260000}"/>
    <cellStyle name="SAPBEXexcGood2 8 6" xfId="9623" xr:uid="{00000000-0005-0000-0000-000031260000}"/>
    <cellStyle name="SAPBEXexcGood2 9" xfId="9624" xr:uid="{00000000-0005-0000-0000-000032260000}"/>
    <cellStyle name="SAPBEXexcGood2 9 2" xfId="9625" xr:uid="{00000000-0005-0000-0000-000033260000}"/>
    <cellStyle name="SAPBEXexcGood2 9 3" xfId="9626" xr:uid="{00000000-0005-0000-0000-000034260000}"/>
    <cellStyle name="SAPBEXexcGood2 9 4" xfId="9627" xr:uid="{00000000-0005-0000-0000-000035260000}"/>
    <cellStyle name="SAPBEXexcGood2 9 5" xfId="9628" xr:uid="{00000000-0005-0000-0000-000036260000}"/>
    <cellStyle name="SAPBEXexcGood2 9 6" xfId="9629" xr:uid="{00000000-0005-0000-0000-000037260000}"/>
    <cellStyle name="SAPBEXexcGood2_Receipts" xfId="9630" xr:uid="{00000000-0005-0000-0000-000038260000}"/>
    <cellStyle name="SAPBEXexcGood3" xfId="9631" xr:uid="{00000000-0005-0000-0000-000039260000}"/>
    <cellStyle name="SAPBEXexcGood3 10" xfId="9632" xr:uid="{00000000-0005-0000-0000-00003A260000}"/>
    <cellStyle name="SAPBEXexcGood3 10 2" xfId="9633" xr:uid="{00000000-0005-0000-0000-00003B260000}"/>
    <cellStyle name="SAPBEXexcGood3 10 3" xfId="9634" xr:uid="{00000000-0005-0000-0000-00003C260000}"/>
    <cellStyle name="SAPBEXexcGood3 10 4" xfId="9635" xr:uid="{00000000-0005-0000-0000-00003D260000}"/>
    <cellStyle name="SAPBEXexcGood3 10 5" xfId="9636" xr:uid="{00000000-0005-0000-0000-00003E260000}"/>
    <cellStyle name="SAPBEXexcGood3 10 6" xfId="9637" xr:uid="{00000000-0005-0000-0000-00003F260000}"/>
    <cellStyle name="SAPBEXexcGood3 11" xfId="9638" xr:uid="{00000000-0005-0000-0000-000040260000}"/>
    <cellStyle name="SAPBEXexcGood3 11 2" xfId="9639" xr:uid="{00000000-0005-0000-0000-000041260000}"/>
    <cellStyle name="SAPBEXexcGood3 11 3" xfId="9640" xr:uid="{00000000-0005-0000-0000-000042260000}"/>
    <cellStyle name="SAPBEXexcGood3 11 4" xfId="9641" xr:uid="{00000000-0005-0000-0000-000043260000}"/>
    <cellStyle name="SAPBEXexcGood3 11 5" xfId="9642" xr:uid="{00000000-0005-0000-0000-000044260000}"/>
    <cellStyle name="SAPBEXexcGood3 11 6" xfId="9643" xr:uid="{00000000-0005-0000-0000-000045260000}"/>
    <cellStyle name="SAPBEXexcGood3 12" xfId="9644" xr:uid="{00000000-0005-0000-0000-000046260000}"/>
    <cellStyle name="SAPBEXexcGood3 12 2" xfId="9645" xr:uid="{00000000-0005-0000-0000-000047260000}"/>
    <cellStyle name="SAPBEXexcGood3 12 3" xfId="9646" xr:uid="{00000000-0005-0000-0000-000048260000}"/>
    <cellStyle name="SAPBEXexcGood3 12 4" xfId="9647" xr:uid="{00000000-0005-0000-0000-000049260000}"/>
    <cellStyle name="SAPBEXexcGood3 12 5" xfId="9648" xr:uid="{00000000-0005-0000-0000-00004A260000}"/>
    <cellStyle name="SAPBEXexcGood3 12 6" xfId="9649" xr:uid="{00000000-0005-0000-0000-00004B260000}"/>
    <cellStyle name="SAPBEXexcGood3 13" xfId="9650" xr:uid="{00000000-0005-0000-0000-00004C260000}"/>
    <cellStyle name="SAPBEXexcGood3 13 2" xfId="9651" xr:uid="{00000000-0005-0000-0000-00004D260000}"/>
    <cellStyle name="SAPBEXexcGood3 13 3" xfId="9652" xr:uid="{00000000-0005-0000-0000-00004E260000}"/>
    <cellStyle name="SAPBEXexcGood3 13 4" xfId="9653" xr:uid="{00000000-0005-0000-0000-00004F260000}"/>
    <cellStyle name="SAPBEXexcGood3 13 5" xfId="9654" xr:uid="{00000000-0005-0000-0000-000050260000}"/>
    <cellStyle name="SAPBEXexcGood3 13 6" xfId="9655" xr:uid="{00000000-0005-0000-0000-000051260000}"/>
    <cellStyle name="SAPBEXexcGood3 14" xfId="9656" xr:uid="{00000000-0005-0000-0000-000052260000}"/>
    <cellStyle name="SAPBEXexcGood3 14 2" xfId="9657" xr:uid="{00000000-0005-0000-0000-000053260000}"/>
    <cellStyle name="SAPBEXexcGood3 14 3" xfId="9658" xr:uid="{00000000-0005-0000-0000-000054260000}"/>
    <cellStyle name="SAPBEXexcGood3 14 4" xfId="9659" xr:uid="{00000000-0005-0000-0000-000055260000}"/>
    <cellStyle name="SAPBEXexcGood3 14 5" xfId="9660" xr:uid="{00000000-0005-0000-0000-000056260000}"/>
    <cellStyle name="SAPBEXexcGood3 14 6" xfId="9661" xr:uid="{00000000-0005-0000-0000-000057260000}"/>
    <cellStyle name="SAPBEXexcGood3 15" xfId="9662" xr:uid="{00000000-0005-0000-0000-000058260000}"/>
    <cellStyle name="SAPBEXexcGood3 15 2" xfId="9663" xr:uid="{00000000-0005-0000-0000-000059260000}"/>
    <cellStyle name="SAPBEXexcGood3 15 3" xfId="9664" xr:uid="{00000000-0005-0000-0000-00005A260000}"/>
    <cellStyle name="SAPBEXexcGood3 15 4" xfId="9665" xr:uid="{00000000-0005-0000-0000-00005B260000}"/>
    <cellStyle name="SAPBEXexcGood3 15 5" xfId="9666" xr:uid="{00000000-0005-0000-0000-00005C260000}"/>
    <cellStyle name="SAPBEXexcGood3 15 6" xfId="9667" xr:uid="{00000000-0005-0000-0000-00005D260000}"/>
    <cellStyle name="SAPBEXexcGood3 16" xfId="9668" xr:uid="{00000000-0005-0000-0000-00005E260000}"/>
    <cellStyle name="SAPBEXexcGood3 16 2" xfId="9669" xr:uid="{00000000-0005-0000-0000-00005F260000}"/>
    <cellStyle name="SAPBEXexcGood3 16 3" xfId="9670" xr:uid="{00000000-0005-0000-0000-000060260000}"/>
    <cellStyle name="SAPBEXexcGood3 16 4" xfId="9671" xr:uid="{00000000-0005-0000-0000-000061260000}"/>
    <cellStyle name="SAPBEXexcGood3 16 5" xfId="9672" xr:uid="{00000000-0005-0000-0000-000062260000}"/>
    <cellStyle name="SAPBEXexcGood3 16 6" xfId="9673" xr:uid="{00000000-0005-0000-0000-000063260000}"/>
    <cellStyle name="SAPBEXexcGood3 17" xfId="9674" xr:uid="{00000000-0005-0000-0000-000064260000}"/>
    <cellStyle name="SAPBEXexcGood3 17 2" xfId="9675" xr:uid="{00000000-0005-0000-0000-000065260000}"/>
    <cellStyle name="SAPBEXexcGood3 17 3" xfId="9676" xr:uid="{00000000-0005-0000-0000-000066260000}"/>
    <cellStyle name="SAPBEXexcGood3 17 4" xfId="9677" xr:uid="{00000000-0005-0000-0000-000067260000}"/>
    <cellStyle name="SAPBEXexcGood3 17 5" xfId="9678" xr:uid="{00000000-0005-0000-0000-000068260000}"/>
    <cellStyle name="SAPBEXexcGood3 17 6" xfId="9679" xr:uid="{00000000-0005-0000-0000-000069260000}"/>
    <cellStyle name="SAPBEXexcGood3 18" xfId="9680" xr:uid="{00000000-0005-0000-0000-00006A260000}"/>
    <cellStyle name="SAPBEXexcGood3 18 2" xfId="9681" xr:uid="{00000000-0005-0000-0000-00006B260000}"/>
    <cellStyle name="SAPBEXexcGood3 18 3" xfId="9682" xr:uid="{00000000-0005-0000-0000-00006C260000}"/>
    <cellStyle name="SAPBEXexcGood3 18 4" xfId="9683" xr:uid="{00000000-0005-0000-0000-00006D260000}"/>
    <cellStyle name="SAPBEXexcGood3 18 5" xfId="9684" xr:uid="{00000000-0005-0000-0000-00006E260000}"/>
    <cellStyle name="SAPBEXexcGood3 18 6" xfId="9685" xr:uid="{00000000-0005-0000-0000-00006F260000}"/>
    <cellStyle name="SAPBEXexcGood3 19" xfId="9686" xr:uid="{00000000-0005-0000-0000-000070260000}"/>
    <cellStyle name="SAPBEXexcGood3 19 2" xfId="9687" xr:uid="{00000000-0005-0000-0000-000071260000}"/>
    <cellStyle name="SAPBEXexcGood3 19 3" xfId="9688" xr:uid="{00000000-0005-0000-0000-000072260000}"/>
    <cellStyle name="SAPBEXexcGood3 19 4" xfId="9689" xr:uid="{00000000-0005-0000-0000-000073260000}"/>
    <cellStyle name="SAPBEXexcGood3 19 5" xfId="9690" xr:uid="{00000000-0005-0000-0000-000074260000}"/>
    <cellStyle name="SAPBEXexcGood3 19 6" xfId="9691" xr:uid="{00000000-0005-0000-0000-000075260000}"/>
    <cellStyle name="SAPBEXexcGood3 2" xfId="9692" xr:uid="{00000000-0005-0000-0000-000076260000}"/>
    <cellStyle name="SAPBEXexcGood3 2 10" xfId="9693" xr:uid="{00000000-0005-0000-0000-000077260000}"/>
    <cellStyle name="SAPBEXexcGood3 2 10 2" xfId="9694" xr:uid="{00000000-0005-0000-0000-000078260000}"/>
    <cellStyle name="SAPBEXexcGood3 2 10 3" xfId="9695" xr:uid="{00000000-0005-0000-0000-000079260000}"/>
    <cellStyle name="SAPBEXexcGood3 2 10 4" xfId="9696" xr:uid="{00000000-0005-0000-0000-00007A260000}"/>
    <cellStyle name="SAPBEXexcGood3 2 11" xfId="9697" xr:uid="{00000000-0005-0000-0000-00007B260000}"/>
    <cellStyle name="SAPBEXexcGood3 2 11 2" xfId="9698" xr:uid="{00000000-0005-0000-0000-00007C260000}"/>
    <cellStyle name="SAPBEXexcGood3 2 11 3" xfId="9699" xr:uid="{00000000-0005-0000-0000-00007D260000}"/>
    <cellStyle name="SAPBEXexcGood3 2 11 4" xfId="9700" xr:uid="{00000000-0005-0000-0000-00007E260000}"/>
    <cellStyle name="SAPBEXexcGood3 2 12" xfId="9701" xr:uid="{00000000-0005-0000-0000-00007F260000}"/>
    <cellStyle name="SAPBEXexcGood3 2 12 2" xfId="9702" xr:uid="{00000000-0005-0000-0000-000080260000}"/>
    <cellStyle name="SAPBEXexcGood3 2 12 3" xfId="9703" xr:uid="{00000000-0005-0000-0000-000081260000}"/>
    <cellStyle name="SAPBEXexcGood3 2 12 4" xfId="9704" xr:uid="{00000000-0005-0000-0000-000082260000}"/>
    <cellStyle name="SAPBEXexcGood3 2 13" xfId="9705" xr:uid="{00000000-0005-0000-0000-000083260000}"/>
    <cellStyle name="SAPBEXexcGood3 2 13 2" xfId="9706" xr:uid="{00000000-0005-0000-0000-000084260000}"/>
    <cellStyle name="SAPBEXexcGood3 2 13 3" xfId="9707" xr:uid="{00000000-0005-0000-0000-000085260000}"/>
    <cellStyle name="SAPBEXexcGood3 2 13 4" xfId="9708" xr:uid="{00000000-0005-0000-0000-000086260000}"/>
    <cellStyle name="SAPBEXexcGood3 2 14" xfId="9709" xr:uid="{00000000-0005-0000-0000-000087260000}"/>
    <cellStyle name="SAPBEXexcGood3 2 15" xfId="9710" xr:uid="{00000000-0005-0000-0000-000088260000}"/>
    <cellStyle name="SAPBEXexcGood3 2 16" xfId="9711" xr:uid="{00000000-0005-0000-0000-000089260000}"/>
    <cellStyle name="SAPBEXexcGood3 2 17" xfId="9712" xr:uid="{00000000-0005-0000-0000-00008A260000}"/>
    <cellStyle name="SAPBEXexcGood3 2 18" xfId="9713" xr:uid="{00000000-0005-0000-0000-00008B260000}"/>
    <cellStyle name="SAPBEXexcGood3 2 2" xfId="9714" xr:uid="{00000000-0005-0000-0000-00008C260000}"/>
    <cellStyle name="SAPBEXexcGood3 2 2 2" xfId="9715" xr:uid="{00000000-0005-0000-0000-00008D260000}"/>
    <cellStyle name="SAPBEXexcGood3 2 2 2 2" xfId="9716" xr:uid="{00000000-0005-0000-0000-00008E260000}"/>
    <cellStyle name="SAPBEXexcGood3 2 2 2 3" xfId="9717" xr:uid="{00000000-0005-0000-0000-00008F260000}"/>
    <cellStyle name="SAPBEXexcGood3 2 2 2 4" xfId="9718" xr:uid="{00000000-0005-0000-0000-000090260000}"/>
    <cellStyle name="SAPBEXexcGood3 2 2 2 5" xfId="9719" xr:uid="{00000000-0005-0000-0000-000091260000}"/>
    <cellStyle name="SAPBEXexcGood3 2 2 2 6" xfId="9720" xr:uid="{00000000-0005-0000-0000-000092260000}"/>
    <cellStyle name="SAPBEXexcGood3 2 2 3" xfId="9721" xr:uid="{00000000-0005-0000-0000-000093260000}"/>
    <cellStyle name="SAPBEXexcGood3 2 2 3 2" xfId="9722" xr:uid="{00000000-0005-0000-0000-000094260000}"/>
    <cellStyle name="SAPBEXexcGood3 2 2 3 3" xfId="9723" xr:uid="{00000000-0005-0000-0000-000095260000}"/>
    <cellStyle name="SAPBEXexcGood3 2 2 3 4" xfId="9724" xr:uid="{00000000-0005-0000-0000-000096260000}"/>
    <cellStyle name="SAPBEXexcGood3 2 2 3 5" xfId="9725" xr:uid="{00000000-0005-0000-0000-000097260000}"/>
    <cellStyle name="SAPBEXexcGood3 2 2 3 6" xfId="9726" xr:uid="{00000000-0005-0000-0000-000098260000}"/>
    <cellStyle name="SAPBEXexcGood3 2 2 4" xfId="9727" xr:uid="{00000000-0005-0000-0000-000099260000}"/>
    <cellStyle name="SAPBEXexcGood3 2 2 4 2" xfId="9728" xr:uid="{00000000-0005-0000-0000-00009A260000}"/>
    <cellStyle name="SAPBEXexcGood3 2 2 4 3" xfId="9729" xr:uid="{00000000-0005-0000-0000-00009B260000}"/>
    <cellStyle name="SAPBEXexcGood3 2 2 4 4" xfId="9730" xr:uid="{00000000-0005-0000-0000-00009C260000}"/>
    <cellStyle name="SAPBEXexcGood3 2 2 4 5" xfId="9731" xr:uid="{00000000-0005-0000-0000-00009D260000}"/>
    <cellStyle name="SAPBEXexcGood3 2 2 4 6" xfId="9732" xr:uid="{00000000-0005-0000-0000-00009E260000}"/>
    <cellStyle name="SAPBEXexcGood3 2 2 5" xfId="9733" xr:uid="{00000000-0005-0000-0000-00009F260000}"/>
    <cellStyle name="SAPBEXexcGood3 2 2 5 2" xfId="9734" xr:uid="{00000000-0005-0000-0000-0000A0260000}"/>
    <cellStyle name="SAPBEXexcGood3 2 2 5 3" xfId="9735" xr:uid="{00000000-0005-0000-0000-0000A1260000}"/>
    <cellStyle name="SAPBEXexcGood3 2 2 5 4" xfId="9736" xr:uid="{00000000-0005-0000-0000-0000A2260000}"/>
    <cellStyle name="SAPBEXexcGood3 2 2 5 5" xfId="9737" xr:uid="{00000000-0005-0000-0000-0000A3260000}"/>
    <cellStyle name="SAPBEXexcGood3 2 2 5 6" xfId="9738" xr:uid="{00000000-0005-0000-0000-0000A4260000}"/>
    <cellStyle name="SAPBEXexcGood3 2 2 6" xfId="9739" xr:uid="{00000000-0005-0000-0000-0000A5260000}"/>
    <cellStyle name="SAPBEXexcGood3 2 2 7" xfId="9740" xr:uid="{00000000-0005-0000-0000-0000A6260000}"/>
    <cellStyle name="SAPBEXexcGood3 2 2 8" xfId="9741" xr:uid="{00000000-0005-0000-0000-0000A7260000}"/>
    <cellStyle name="SAPBEXexcGood3 2 3" xfId="9742" xr:uid="{00000000-0005-0000-0000-0000A8260000}"/>
    <cellStyle name="SAPBEXexcGood3 2 3 2" xfId="9743" xr:uid="{00000000-0005-0000-0000-0000A9260000}"/>
    <cellStyle name="SAPBEXexcGood3 2 3 2 2" xfId="9744" xr:uid="{00000000-0005-0000-0000-0000AA260000}"/>
    <cellStyle name="SAPBEXexcGood3 2 3 2 3" xfId="9745" xr:uid="{00000000-0005-0000-0000-0000AB260000}"/>
    <cellStyle name="SAPBEXexcGood3 2 3 2 4" xfId="9746" xr:uid="{00000000-0005-0000-0000-0000AC260000}"/>
    <cellStyle name="SAPBEXexcGood3 2 3 2 5" xfId="9747" xr:uid="{00000000-0005-0000-0000-0000AD260000}"/>
    <cellStyle name="SAPBEXexcGood3 2 3 2 6" xfId="9748" xr:uid="{00000000-0005-0000-0000-0000AE260000}"/>
    <cellStyle name="SAPBEXexcGood3 2 3 3" xfId="9749" xr:uid="{00000000-0005-0000-0000-0000AF260000}"/>
    <cellStyle name="SAPBEXexcGood3 2 3 3 2" xfId="9750" xr:uid="{00000000-0005-0000-0000-0000B0260000}"/>
    <cellStyle name="SAPBEXexcGood3 2 3 3 3" xfId="9751" xr:uid="{00000000-0005-0000-0000-0000B1260000}"/>
    <cellStyle name="SAPBEXexcGood3 2 3 3 4" xfId="9752" xr:uid="{00000000-0005-0000-0000-0000B2260000}"/>
    <cellStyle name="SAPBEXexcGood3 2 3 3 5" xfId="9753" xr:uid="{00000000-0005-0000-0000-0000B3260000}"/>
    <cellStyle name="SAPBEXexcGood3 2 3 3 6" xfId="9754" xr:uid="{00000000-0005-0000-0000-0000B4260000}"/>
    <cellStyle name="SAPBEXexcGood3 2 3 4" xfId="9755" xr:uid="{00000000-0005-0000-0000-0000B5260000}"/>
    <cellStyle name="SAPBEXexcGood3 2 3 4 2" xfId="9756" xr:uid="{00000000-0005-0000-0000-0000B6260000}"/>
    <cellStyle name="SAPBEXexcGood3 2 3 4 3" xfId="9757" xr:uid="{00000000-0005-0000-0000-0000B7260000}"/>
    <cellStyle name="SAPBEXexcGood3 2 3 4 4" xfId="9758" xr:uid="{00000000-0005-0000-0000-0000B8260000}"/>
    <cellStyle name="SAPBEXexcGood3 2 3 4 5" xfId="9759" xr:uid="{00000000-0005-0000-0000-0000B9260000}"/>
    <cellStyle name="SAPBEXexcGood3 2 3 4 6" xfId="9760" xr:uid="{00000000-0005-0000-0000-0000BA260000}"/>
    <cellStyle name="SAPBEXexcGood3 2 3 5" xfId="9761" xr:uid="{00000000-0005-0000-0000-0000BB260000}"/>
    <cellStyle name="SAPBEXexcGood3 2 3 5 2" xfId="9762" xr:uid="{00000000-0005-0000-0000-0000BC260000}"/>
    <cellStyle name="SAPBEXexcGood3 2 3 5 3" xfId="9763" xr:uid="{00000000-0005-0000-0000-0000BD260000}"/>
    <cellStyle name="SAPBEXexcGood3 2 3 5 4" xfId="9764" xr:uid="{00000000-0005-0000-0000-0000BE260000}"/>
    <cellStyle name="SAPBEXexcGood3 2 3 5 5" xfId="9765" xr:uid="{00000000-0005-0000-0000-0000BF260000}"/>
    <cellStyle name="SAPBEXexcGood3 2 3 5 6" xfId="9766" xr:uid="{00000000-0005-0000-0000-0000C0260000}"/>
    <cellStyle name="SAPBEXexcGood3 2 3 6" xfId="9767" xr:uid="{00000000-0005-0000-0000-0000C1260000}"/>
    <cellStyle name="SAPBEXexcGood3 2 3 7" xfId="9768" xr:uid="{00000000-0005-0000-0000-0000C2260000}"/>
    <cellStyle name="SAPBEXexcGood3 2 3 8" xfId="9769" xr:uid="{00000000-0005-0000-0000-0000C3260000}"/>
    <cellStyle name="SAPBEXexcGood3 2 4" xfId="9770" xr:uid="{00000000-0005-0000-0000-0000C4260000}"/>
    <cellStyle name="SAPBEXexcGood3 2 4 2" xfId="9771" xr:uid="{00000000-0005-0000-0000-0000C5260000}"/>
    <cellStyle name="SAPBEXexcGood3 2 4 2 2" xfId="9772" xr:uid="{00000000-0005-0000-0000-0000C6260000}"/>
    <cellStyle name="SAPBEXexcGood3 2 4 2 3" xfId="9773" xr:uid="{00000000-0005-0000-0000-0000C7260000}"/>
    <cellStyle name="SAPBEXexcGood3 2 4 2 4" xfId="9774" xr:uid="{00000000-0005-0000-0000-0000C8260000}"/>
    <cellStyle name="SAPBEXexcGood3 2 4 2 5" xfId="9775" xr:uid="{00000000-0005-0000-0000-0000C9260000}"/>
    <cellStyle name="SAPBEXexcGood3 2 4 2 6" xfId="9776" xr:uid="{00000000-0005-0000-0000-0000CA260000}"/>
    <cellStyle name="SAPBEXexcGood3 2 4 3" xfId="9777" xr:uid="{00000000-0005-0000-0000-0000CB260000}"/>
    <cellStyle name="SAPBEXexcGood3 2 4 3 2" xfId="9778" xr:uid="{00000000-0005-0000-0000-0000CC260000}"/>
    <cellStyle name="SAPBEXexcGood3 2 4 3 3" xfId="9779" xr:uid="{00000000-0005-0000-0000-0000CD260000}"/>
    <cellStyle name="SAPBEXexcGood3 2 4 3 4" xfId="9780" xr:uid="{00000000-0005-0000-0000-0000CE260000}"/>
    <cellStyle name="SAPBEXexcGood3 2 4 3 5" xfId="9781" xr:uid="{00000000-0005-0000-0000-0000CF260000}"/>
    <cellStyle name="SAPBEXexcGood3 2 4 3 6" xfId="9782" xr:uid="{00000000-0005-0000-0000-0000D0260000}"/>
    <cellStyle name="SAPBEXexcGood3 2 4 4" xfId="9783" xr:uid="{00000000-0005-0000-0000-0000D1260000}"/>
    <cellStyle name="SAPBEXexcGood3 2 4 4 2" xfId="9784" xr:uid="{00000000-0005-0000-0000-0000D2260000}"/>
    <cellStyle name="SAPBEXexcGood3 2 4 4 3" xfId="9785" xr:uid="{00000000-0005-0000-0000-0000D3260000}"/>
    <cellStyle name="SAPBEXexcGood3 2 4 4 4" xfId="9786" xr:uid="{00000000-0005-0000-0000-0000D4260000}"/>
    <cellStyle name="SAPBEXexcGood3 2 4 4 5" xfId="9787" xr:uid="{00000000-0005-0000-0000-0000D5260000}"/>
    <cellStyle name="SAPBEXexcGood3 2 4 4 6" xfId="9788" xr:uid="{00000000-0005-0000-0000-0000D6260000}"/>
    <cellStyle name="SAPBEXexcGood3 2 4 5" xfId="9789" xr:uid="{00000000-0005-0000-0000-0000D7260000}"/>
    <cellStyle name="SAPBEXexcGood3 2 4 5 2" xfId="9790" xr:uid="{00000000-0005-0000-0000-0000D8260000}"/>
    <cellStyle name="SAPBEXexcGood3 2 4 5 3" xfId="9791" xr:uid="{00000000-0005-0000-0000-0000D9260000}"/>
    <cellStyle name="SAPBEXexcGood3 2 4 5 4" xfId="9792" xr:uid="{00000000-0005-0000-0000-0000DA260000}"/>
    <cellStyle name="SAPBEXexcGood3 2 4 5 5" xfId="9793" xr:uid="{00000000-0005-0000-0000-0000DB260000}"/>
    <cellStyle name="SAPBEXexcGood3 2 4 5 6" xfId="9794" xr:uid="{00000000-0005-0000-0000-0000DC260000}"/>
    <cellStyle name="SAPBEXexcGood3 2 4 6" xfId="9795" xr:uid="{00000000-0005-0000-0000-0000DD260000}"/>
    <cellStyle name="SAPBEXexcGood3 2 4 7" xfId="9796" xr:uid="{00000000-0005-0000-0000-0000DE260000}"/>
    <cellStyle name="SAPBEXexcGood3 2 4 8" xfId="9797" xr:uid="{00000000-0005-0000-0000-0000DF260000}"/>
    <cellStyle name="SAPBEXexcGood3 2 5" xfId="9798" xr:uid="{00000000-0005-0000-0000-0000E0260000}"/>
    <cellStyle name="SAPBEXexcGood3 2 5 2" xfId="9799" xr:uid="{00000000-0005-0000-0000-0000E1260000}"/>
    <cellStyle name="SAPBEXexcGood3 2 5 3" xfId="9800" xr:uid="{00000000-0005-0000-0000-0000E2260000}"/>
    <cellStyle name="SAPBEXexcGood3 2 5 4" xfId="9801" xr:uid="{00000000-0005-0000-0000-0000E3260000}"/>
    <cellStyle name="SAPBEXexcGood3 2 6" xfId="9802" xr:uid="{00000000-0005-0000-0000-0000E4260000}"/>
    <cellStyle name="SAPBEXexcGood3 2 6 2" xfId="9803" xr:uid="{00000000-0005-0000-0000-0000E5260000}"/>
    <cellStyle name="SAPBEXexcGood3 2 6 3" xfId="9804" xr:uid="{00000000-0005-0000-0000-0000E6260000}"/>
    <cellStyle name="SAPBEXexcGood3 2 6 4" xfId="9805" xr:uid="{00000000-0005-0000-0000-0000E7260000}"/>
    <cellStyle name="SAPBEXexcGood3 2 7" xfId="9806" xr:uid="{00000000-0005-0000-0000-0000E8260000}"/>
    <cellStyle name="SAPBEXexcGood3 2 7 2" xfId="9807" xr:uid="{00000000-0005-0000-0000-0000E9260000}"/>
    <cellStyle name="SAPBEXexcGood3 2 7 3" xfId="9808" xr:uid="{00000000-0005-0000-0000-0000EA260000}"/>
    <cellStyle name="SAPBEXexcGood3 2 7 4" xfId="9809" xr:uid="{00000000-0005-0000-0000-0000EB260000}"/>
    <cellStyle name="SAPBEXexcGood3 2 8" xfId="9810" xr:uid="{00000000-0005-0000-0000-0000EC260000}"/>
    <cellStyle name="SAPBEXexcGood3 2 8 2" xfId="9811" xr:uid="{00000000-0005-0000-0000-0000ED260000}"/>
    <cellStyle name="SAPBEXexcGood3 2 8 3" xfId="9812" xr:uid="{00000000-0005-0000-0000-0000EE260000}"/>
    <cellStyle name="SAPBEXexcGood3 2 8 4" xfId="9813" xr:uid="{00000000-0005-0000-0000-0000EF260000}"/>
    <cellStyle name="SAPBEXexcGood3 2 9" xfId="9814" xr:uid="{00000000-0005-0000-0000-0000F0260000}"/>
    <cellStyle name="SAPBEXexcGood3 2 9 2" xfId="9815" xr:uid="{00000000-0005-0000-0000-0000F1260000}"/>
    <cellStyle name="SAPBEXexcGood3 2 9 3" xfId="9816" xr:uid="{00000000-0005-0000-0000-0000F2260000}"/>
    <cellStyle name="SAPBEXexcGood3 2 9 4" xfId="9817" xr:uid="{00000000-0005-0000-0000-0000F3260000}"/>
    <cellStyle name="SAPBEXexcGood3 20" xfId="9818" xr:uid="{00000000-0005-0000-0000-0000F4260000}"/>
    <cellStyle name="SAPBEXexcGood3 20 2" xfId="9819" xr:uid="{00000000-0005-0000-0000-0000F5260000}"/>
    <cellStyle name="SAPBEXexcGood3 20 3" xfId="9820" xr:uid="{00000000-0005-0000-0000-0000F6260000}"/>
    <cellStyle name="SAPBEXexcGood3 20 4" xfId="9821" xr:uid="{00000000-0005-0000-0000-0000F7260000}"/>
    <cellStyle name="SAPBEXexcGood3 20 5" xfId="9822" xr:uid="{00000000-0005-0000-0000-0000F8260000}"/>
    <cellStyle name="SAPBEXexcGood3 20 6" xfId="9823" xr:uid="{00000000-0005-0000-0000-0000F9260000}"/>
    <cellStyle name="SAPBEXexcGood3 21" xfId="9824" xr:uid="{00000000-0005-0000-0000-0000FA260000}"/>
    <cellStyle name="SAPBEXexcGood3 21 2" xfId="9825" xr:uid="{00000000-0005-0000-0000-0000FB260000}"/>
    <cellStyle name="SAPBEXexcGood3 21 3" xfId="9826" xr:uid="{00000000-0005-0000-0000-0000FC260000}"/>
    <cellStyle name="SAPBEXexcGood3 21 4" xfId="9827" xr:uid="{00000000-0005-0000-0000-0000FD260000}"/>
    <cellStyle name="SAPBEXexcGood3 21 5" xfId="9828" xr:uid="{00000000-0005-0000-0000-0000FE260000}"/>
    <cellStyle name="SAPBEXexcGood3 21 6" xfId="9829" xr:uid="{00000000-0005-0000-0000-0000FF260000}"/>
    <cellStyle name="SAPBEXexcGood3 22" xfId="9830" xr:uid="{00000000-0005-0000-0000-000000270000}"/>
    <cellStyle name="SAPBEXexcGood3 22 2" xfId="9831" xr:uid="{00000000-0005-0000-0000-000001270000}"/>
    <cellStyle name="SAPBEXexcGood3 22 3" xfId="9832" xr:uid="{00000000-0005-0000-0000-000002270000}"/>
    <cellStyle name="SAPBEXexcGood3 22 4" xfId="9833" xr:uid="{00000000-0005-0000-0000-000003270000}"/>
    <cellStyle name="SAPBEXexcGood3 22 5" xfId="9834" xr:uid="{00000000-0005-0000-0000-000004270000}"/>
    <cellStyle name="SAPBEXexcGood3 22 6" xfId="9835" xr:uid="{00000000-0005-0000-0000-000005270000}"/>
    <cellStyle name="SAPBEXexcGood3 23" xfId="9836" xr:uid="{00000000-0005-0000-0000-000006270000}"/>
    <cellStyle name="SAPBEXexcGood3 23 2" xfId="9837" xr:uid="{00000000-0005-0000-0000-000007270000}"/>
    <cellStyle name="SAPBEXexcGood3 23 3" xfId="9838" xr:uid="{00000000-0005-0000-0000-000008270000}"/>
    <cellStyle name="SAPBEXexcGood3 23 4" xfId="9839" xr:uid="{00000000-0005-0000-0000-000009270000}"/>
    <cellStyle name="SAPBEXexcGood3 23 5" xfId="9840" xr:uid="{00000000-0005-0000-0000-00000A270000}"/>
    <cellStyle name="SAPBEXexcGood3 23 6" xfId="9841" xr:uid="{00000000-0005-0000-0000-00000B270000}"/>
    <cellStyle name="SAPBEXexcGood3 24" xfId="9842" xr:uid="{00000000-0005-0000-0000-00000C270000}"/>
    <cellStyle name="SAPBEXexcGood3 24 2" xfId="9843" xr:uid="{00000000-0005-0000-0000-00000D270000}"/>
    <cellStyle name="SAPBEXexcGood3 24 3" xfId="9844" xr:uid="{00000000-0005-0000-0000-00000E270000}"/>
    <cellStyle name="SAPBEXexcGood3 24 4" xfId="9845" xr:uid="{00000000-0005-0000-0000-00000F270000}"/>
    <cellStyle name="SAPBEXexcGood3 24 5" xfId="9846" xr:uid="{00000000-0005-0000-0000-000010270000}"/>
    <cellStyle name="SAPBEXexcGood3 24 6" xfId="9847" xr:uid="{00000000-0005-0000-0000-000011270000}"/>
    <cellStyle name="SAPBEXexcGood3 25" xfId="9848" xr:uid="{00000000-0005-0000-0000-000012270000}"/>
    <cellStyle name="SAPBEXexcGood3 25 2" xfId="9849" xr:uid="{00000000-0005-0000-0000-000013270000}"/>
    <cellStyle name="SAPBEXexcGood3 25 3" xfId="9850" xr:uid="{00000000-0005-0000-0000-000014270000}"/>
    <cellStyle name="SAPBEXexcGood3 25 4" xfId="9851" xr:uid="{00000000-0005-0000-0000-000015270000}"/>
    <cellStyle name="SAPBEXexcGood3 25 5" xfId="9852" xr:uid="{00000000-0005-0000-0000-000016270000}"/>
    <cellStyle name="SAPBEXexcGood3 25 6" xfId="9853" xr:uid="{00000000-0005-0000-0000-000017270000}"/>
    <cellStyle name="SAPBEXexcGood3 26" xfId="9854" xr:uid="{00000000-0005-0000-0000-000018270000}"/>
    <cellStyle name="SAPBEXexcGood3 26 2" xfId="9855" xr:uid="{00000000-0005-0000-0000-000019270000}"/>
    <cellStyle name="SAPBEXexcGood3 26 3" xfId="9856" xr:uid="{00000000-0005-0000-0000-00001A270000}"/>
    <cellStyle name="SAPBEXexcGood3 26 4" xfId="9857" xr:uid="{00000000-0005-0000-0000-00001B270000}"/>
    <cellStyle name="SAPBEXexcGood3 26 5" xfId="9858" xr:uid="{00000000-0005-0000-0000-00001C270000}"/>
    <cellStyle name="SAPBEXexcGood3 26 6" xfId="9859" xr:uid="{00000000-0005-0000-0000-00001D270000}"/>
    <cellStyle name="SAPBEXexcGood3 27" xfId="9860" xr:uid="{00000000-0005-0000-0000-00001E270000}"/>
    <cellStyle name="SAPBEXexcGood3 27 2" xfId="9861" xr:uid="{00000000-0005-0000-0000-00001F270000}"/>
    <cellStyle name="SAPBEXexcGood3 27 3" xfId="9862" xr:uid="{00000000-0005-0000-0000-000020270000}"/>
    <cellStyle name="SAPBEXexcGood3 27 4" xfId="9863" xr:uid="{00000000-0005-0000-0000-000021270000}"/>
    <cellStyle name="SAPBEXexcGood3 27 5" xfId="9864" xr:uid="{00000000-0005-0000-0000-000022270000}"/>
    <cellStyle name="SAPBEXexcGood3 27 6" xfId="9865" xr:uid="{00000000-0005-0000-0000-000023270000}"/>
    <cellStyle name="SAPBEXexcGood3 28" xfId="9866" xr:uid="{00000000-0005-0000-0000-000024270000}"/>
    <cellStyle name="SAPBEXexcGood3 28 2" xfId="9867" xr:uid="{00000000-0005-0000-0000-000025270000}"/>
    <cellStyle name="SAPBEXexcGood3 28 3" xfId="9868" xr:uid="{00000000-0005-0000-0000-000026270000}"/>
    <cellStyle name="SAPBEXexcGood3 28 4" xfId="9869" xr:uid="{00000000-0005-0000-0000-000027270000}"/>
    <cellStyle name="SAPBEXexcGood3 28 5" xfId="9870" xr:uid="{00000000-0005-0000-0000-000028270000}"/>
    <cellStyle name="SAPBEXexcGood3 28 6" xfId="9871" xr:uid="{00000000-0005-0000-0000-000029270000}"/>
    <cellStyle name="SAPBEXexcGood3 29" xfId="9872" xr:uid="{00000000-0005-0000-0000-00002A270000}"/>
    <cellStyle name="SAPBEXexcGood3 29 2" xfId="9873" xr:uid="{00000000-0005-0000-0000-00002B270000}"/>
    <cellStyle name="SAPBEXexcGood3 29 3" xfId="9874" xr:uid="{00000000-0005-0000-0000-00002C270000}"/>
    <cellStyle name="SAPBEXexcGood3 29 4" xfId="9875" xr:uid="{00000000-0005-0000-0000-00002D270000}"/>
    <cellStyle name="SAPBEXexcGood3 29 5" xfId="9876" xr:uid="{00000000-0005-0000-0000-00002E270000}"/>
    <cellStyle name="SAPBEXexcGood3 29 6" xfId="9877" xr:uid="{00000000-0005-0000-0000-00002F270000}"/>
    <cellStyle name="SAPBEXexcGood3 3" xfId="9878" xr:uid="{00000000-0005-0000-0000-000030270000}"/>
    <cellStyle name="SAPBEXexcGood3 3 10" xfId="9879" xr:uid="{00000000-0005-0000-0000-000031270000}"/>
    <cellStyle name="SAPBEXexcGood3 3 11" xfId="9880" xr:uid="{00000000-0005-0000-0000-000032270000}"/>
    <cellStyle name="SAPBEXexcGood3 3 12" xfId="9881" xr:uid="{00000000-0005-0000-0000-000033270000}"/>
    <cellStyle name="SAPBEXexcGood3 3 2" xfId="9882" xr:uid="{00000000-0005-0000-0000-000034270000}"/>
    <cellStyle name="SAPBEXexcGood3 3 2 2" xfId="9883" xr:uid="{00000000-0005-0000-0000-000035270000}"/>
    <cellStyle name="SAPBEXexcGood3 3 2 2 2" xfId="9884" xr:uid="{00000000-0005-0000-0000-000036270000}"/>
    <cellStyle name="SAPBEXexcGood3 3 2 2 3" xfId="9885" xr:uid="{00000000-0005-0000-0000-000037270000}"/>
    <cellStyle name="SAPBEXexcGood3 3 2 2 4" xfId="9886" xr:uid="{00000000-0005-0000-0000-000038270000}"/>
    <cellStyle name="SAPBEXexcGood3 3 2 2 5" xfId="9887" xr:uid="{00000000-0005-0000-0000-000039270000}"/>
    <cellStyle name="SAPBEXexcGood3 3 2 2 6" xfId="9888" xr:uid="{00000000-0005-0000-0000-00003A270000}"/>
    <cellStyle name="SAPBEXexcGood3 3 2 3" xfId="9889" xr:uid="{00000000-0005-0000-0000-00003B270000}"/>
    <cellStyle name="SAPBEXexcGood3 3 2 3 2" xfId="9890" xr:uid="{00000000-0005-0000-0000-00003C270000}"/>
    <cellStyle name="SAPBEXexcGood3 3 2 3 3" xfId="9891" xr:uid="{00000000-0005-0000-0000-00003D270000}"/>
    <cellStyle name="SAPBEXexcGood3 3 2 3 4" xfId="9892" xr:uid="{00000000-0005-0000-0000-00003E270000}"/>
    <cellStyle name="SAPBEXexcGood3 3 2 3 5" xfId="9893" xr:uid="{00000000-0005-0000-0000-00003F270000}"/>
    <cellStyle name="SAPBEXexcGood3 3 2 3 6" xfId="9894" xr:uid="{00000000-0005-0000-0000-000040270000}"/>
    <cellStyle name="SAPBEXexcGood3 3 2 4" xfId="9895" xr:uid="{00000000-0005-0000-0000-000041270000}"/>
    <cellStyle name="SAPBEXexcGood3 3 2 4 2" xfId="9896" xr:uid="{00000000-0005-0000-0000-000042270000}"/>
    <cellStyle name="SAPBEXexcGood3 3 2 4 3" xfId="9897" xr:uid="{00000000-0005-0000-0000-000043270000}"/>
    <cellStyle name="SAPBEXexcGood3 3 2 4 4" xfId="9898" xr:uid="{00000000-0005-0000-0000-000044270000}"/>
    <cellStyle name="SAPBEXexcGood3 3 2 4 5" xfId="9899" xr:uid="{00000000-0005-0000-0000-000045270000}"/>
    <cellStyle name="SAPBEXexcGood3 3 2 4 6" xfId="9900" xr:uid="{00000000-0005-0000-0000-000046270000}"/>
    <cellStyle name="SAPBEXexcGood3 3 2 5" xfId="9901" xr:uid="{00000000-0005-0000-0000-000047270000}"/>
    <cellStyle name="SAPBEXexcGood3 3 2 5 2" xfId="9902" xr:uid="{00000000-0005-0000-0000-000048270000}"/>
    <cellStyle name="SAPBEXexcGood3 3 2 5 3" xfId="9903" xr:uid="{00000000-0005-0000-0000-000049270000}"/>
    <cellStyle name="SAPBEXexcGood3 3 2 5 4" xfId="9904" xr:uid="{00000000-0005-0000-0000-00004A270000}"/>
    <cellStyle name="SAPBEXexcGood3 3 2 5 5" xfId="9905" xr:uid="{00000000-0005-0000-0000-00004B270000}"/>
    <cellStyle name="SAPBEXexcGood3 3 2 5 6" xfId="9906" xr:uid="{00000000-0005-0000-0000-00004C270000}"/>
    <cellStyle name="SAPBEXexcGood3 3 2 6" xfId="9907" xr:uid="{00000000-0005-0000-0000-00004D270000}"/>
    <cellStyle name="SAPBEXexcGood3 3 2 7" xfId="9908" xr:uid="{00000000-0005-0000-0000-00004E270000}"/>
    <cellStyle name="SAPBEXexcGood3 3 2 8" xfId="9909" xr:uid="{00000000-0005-0000-0000-00004F270000}"/>
    <cellStyle name="SAPBEXexcGood3 3 3" xfId="9910" xr:uid="{00000000-0005-0000-0000-000050270000}"/>
    <cellStyle name="SAPBEXexcGood3 3 3 2" xfId="9911" xr:uid="{00000000-0005-0000-0000-000051270000}"/>
    <cellStyle name="SAPBEXexcGood3 3 3 3" xfId="9912" xr:uid="{00000000-0005-0000-0000-000052270000}"/>
    <cellStyle name="SAPBEXexcGood3 3 3 4" xfId="9913" xr:uid="{00000000-0005-0000-0000-000053270000}"/>
    <cellStyle name="SAPBEXexcGood3 3 3 5" xfId="9914" xr:uid="{00000000-0005-0000-0000-000054270000}"/>
    <cellStyle name="SAPBEXexcGood3 3 3 6" xfId="9915" xr:uid="{00000000-0005-0000-0000-000055270000}"/>
    <cellStyle name="SAPBEXexcGood3 3 4" xfId="9916" xr:uid="{00000000-0005-0000-0000-000056270000}"/>
    <cellStyle name="SAPBEXexcGood3 3 4 2" xfId="9917" xr:uid="{00000000-0005-0000-0000-000057270000}"/>
    <cellStyle name="SAPBEXexcGood3 3 4 3" xfId="9918" xr:uid="{00000000-0005-0000-0000-000058270000}"/>
    <cellStyle name="SAPBEXexcGood3 3 4 4" xfId="9919" xr:uid="{00000000-0005-0000-0000-000059270000}"/>
    <cellStyle name="SAPBEXexcGood3 3 4 5" xfId="9920" xr:uid="{00000000-0005-0000-0000-00005A270000}"/>
    <cellStyle name="SAPBEXexcGood3 3 4 6" xfId="9921" xr:uid="{00000000-0005-0000-0000-00005B270000}"/>
    <cellStyle name="SAPBEXexcGood3 3 5" xfId="9922" xr:uid="{00000000-0005-0000-0000-00005C270000}"/>
    <cellStyle name="SAPBEXexcGood3 3 5 2" xfId="9923" xr:uid="{00000000-0005-0000-0000-00005D270000}"/>
    <cellStyle name="SAPBEXexcGood3 3 5 3" xfId="9924" xr:uid="{00000000-0005-0000-0000-00005E270000}"/>
    <cellStyle name="SAPBEXexcGood3 3 5 4" xfId="9925" xr:uid="{00000000-0005-0000-0000-00005F270000}"/>
    <cellStyle name="SAPBEXexcGood3 3 6" xfId="9926" xr:uid="{00000000-0005-0000-0000-000060270000}"/>
    <cellStyle name="SAPBEXexcGood3 3 6 2" xfId="9927" xr:uid="{00000000-0005-0000-0000-000061270000}"/>
    <cellStyle name="SAPBEXexcGood3 3 6 3" xfId="9928" xr:uid="{00000000-0005-0000-0000-000062270000}"/>
    <cellStyle name="SAPBEXexcGood3 3 6 4" xfId="9929" xr:uid="{00000000-0005-0000-0000-000063270000}"/>
    <cellStyle name="SAPBEXexcGood3 3 7" xfId="9930" xr:uid="{00000000-0005-0000-0000-000064270000}"/>
    <cellStyle name="SAPBEXexcGood3 3 7 2" xfId="9931" xr:uid="{00000000-0005-0000-0000-000065270000}"/>
    <cellStyle name="SAPBEXexcGood3 3 7 3" xfId="9932" xr:uid="{00000000-0005-0000-0000-000066270000}"/>
    <cellStyle name="SAPBEXexcGood3 3 7 4" xfId="9933" xr:uid="{00000000-0005-0000-0000-000067270000}"/>
    <cellStyle name="SAPBEXexcGood3 3 8" xfId="9934" xr:uid="{00000000-0005-0000-0000-000068270000}"/>
    <cellStyle name="SAPBEXexcGood3 3 9" xfId="9935" xr:uid="{00000000-0005-0000-0000-000069270000}"/>
    <cellStyle name="SAPBEXexcGood3 30" xfId="9936" xr:uid="{00000000-0005-0000-0000-00006A270000}"/>
    <cellStyle name="SAPBEXexcGood3 30 2" xfId="9937" xr:uid="{00000000-0005-0000-0000-00006B270000}"/>
    <cellStyle name="SAPBEXexcGood3 30 3" xfId="9938" xr:uid="{00000000-0005-0000-0000-00006C270000}"/>
    <cellStyle name="SAPBEXexcGood3 30 4" xfId="9939" xr:uid="{00000000-0005-0000-0000-00006D270000}"/>
    <cellStyle name="SAPBEXexcGood3 30 5" xfId="9940" xr:uid="{00000000-0005-0000-0000-00006E270000}"/>
    <cellStyle name="SAPBEXexcGood3 30 6" xfId="9941" xr:uid="{00000000-0005-0000-0000-00006F270000}"/>
    <cellStyle name="SAPBEXexcGood3 31" xfId="9942" xr:uid="{00000000-0005-0000-0000-000070270000}"/>
    <cellStyle name="SAPBEXexcGood3 31 2" xfId="9943" xr:uid="{00000000-0005-0000-0000-000071270000}"/>
    <cellStyle name="SAPBEXexcGood3 31 3" xfId="9944" xr:uid="{00000000-0005-0000-0000-000072270000}"/>
    <cellStyle name="SAPBEXexcGood3 31 4" xfId="9945" xr:uid="{00000000-0005-0000-0000-000073270000}"/>
    <cellStyle name="SAPBEXexcGood3 31 5" xfId="9946" xr:uid="{00000000-0005-0000-0000-000074270000}"/>
    <cellStyle name="SAPBEXexcGood3 31 6" xfId="9947" xr:uid="{00000000-0005-0000-0000-000075270000}"/>
    <cellStyle name="SAPBEXexcGood3 32" xfId="9948" xr:uid="{00000000-0005-0000-0000-000076270000}"/>
    <cellStyle name="SAPBEXexcGood3 32 2" xfId="9949" xr:uid="{00000000-0005-0000-0000-000077270000}"/>
    <cellStyle name="SAPBEXexcGood3 32 3" xfId="9950" xr:uid="{00000000-0005-0000-0000-000078270000}"/>
    <cellStyle name="SAPBEXexcGood3 32 4" xfId="9951" xr:uid="{00000000-0005-0000-0000-000079270000}"/>
    <cellStyle name="SAPBEXexcGood3 32 5" xfId="9952" xr:uid="{00000000-0005-0000-0000-00007A270000}"/>
    <cellStyle name="SAPBEXexcGood3 32 6" xfId="9953" xr:uid="{00000000-0005-0000-0000-00007B270000}"/>
    <cellStyle name="SAPBEXexcGood3 33" xfId="9954" xr:uid="{00000000-0005-0000-0000-00007C270000}"/>
    <cellStyle name="SAPBEXexcGood3 34" xfId="9955" xr:uid="{00000000-0005-0000-0000-00007D270000}"/>
    <cellStyle name="SAPBEXexcGood3 35" xfId="9956" xr:uid="{00000000-0005-0000-0000-00007E270000}"/>
    <cellStyle name="SAPBEXexcGood3 36" xfId="27822" xr:uid="{00000000-0005-0000-0000-00007F270000}"/>
    <cellStyle name="SAPBEXexcGood3 37" xfId="27915" xr:uid="{00000000-0005-0000-0000-000080270000}"/>
    <cellStyle name="SAPBEXexcGood3 38" xfId="27980" xr:uid="{00000000-0005-0000-0000-000081270000}"/>
    <cellStyle name="SAPBEXexcGood3 39" xfId="28015" xr:uid="{00000000-0005-0000-0000-000082270000}"/>
    <cellStyle name="SAPBEXexcGood3 4" xfId="9957" xr:uid="{00000000-0005-0000-0000-000083270000}"/>
    <cellStyle name="SAPBEXexcGood3 4 2" xfId="9958" xr:uid="{00000000-0005-0000-0000-000084270000}"/>
    <cellStyle name="SAPBEXexcGood3 4 3" xfId="9959" xr:uid="{00000000-0005-0000-0000-000085270000}"/>
    <cellStyle name="SAPBEXexcGood3 4 4" xfId="9960" xr:uid="{00000000-0005-0000-0000-000086270000}"/>
    <cellStyle name="SAPBEXexcGood3 4 5" xfId="9961" xr:uid="{00000000-0005-0000-0000-000087270000}"/>
    <cellStyle name="SAPBEXexcGood3 4 6" xfId="9962" xr:uid="{00000000-0005-0000-0000-000088270000}"/>
    <cellStyle name="SAPBEXexcGood3 40" xfId="28153" xr:uid="{00000000-0005-0000-0000-000089270000}"/>
    <cellStyle name="SAPBEXexcGood3 5" xfId="9963" xr:uid="{00000000-0005-0000-0000-00008A270000}"/>
    <cellStyle name="SAPBEXexcGood3 5 2" xfId="9964" xr:uid="{00000000-0005-0000-0000-00008B270000}"/>
    <cellStyle name="SAPBEXexcGood3 5 3" xfId="9965" xr:uid="{00000000-0005-0000-0000-00008C270000}"/>
    <cellStyle name="SAPBEXexcGood3 5 4" xfId="9966" xr:uid="{00000000-0005-0000-0000-00008D270000}"/>
    <cellStyle name="SAPBEXexcGood3 5 5" xfId="9967" xr:uid="{00000000-0005-0000-0000-00008E270000}"/>
    <cellStyle name="SAPBEXexcGood3 5 6" xfId="9968" xr:uid="{00000000-0005-0000-0000-00008F270000}"/>
    <cellStyle name="SAPBEXexcGood3 6" xfId="9969" xr:uid="{00000000-0005-0000-0000-000090270000}"/>
    <cellStyle name="SAPBEXexcGood3 6 10" xfId="9970" xr:uid="{00000000-0005-0000-0000-000091270000}"/>
    <cellStyle name="SAPBEXexcGood3 6 2" xfId="9971" xr:uid="{00000000-0005-0000-0000-000092270000}"/>
    <cellStyle name="SAPBEXexcGood3 6 2 2" xfId="9972" xr:uid="{00000000-0005-0000-0000-000093270000}"/>
    <cellStyle name="SAPBEXexcGood3 6 2 3" xfId="9973" xr:uid="{00000000-0005-0000-0000-000094270000}"/>
    <cellStyle name="SAPBEXexcGood3 6 2 4" xfId="9974" xr:uid="{00000000-0005-0000-0000-000095270000}"/>
    <cellStyle name="SAPBEXexcGood3 6 3" xfId="9975" xr:uid="{00000000-0005-0000-0000-000096270000}"/>
    <cellStyle name="SAPBEXexcGood3 6 3 2" xfId="9976" xr:uid="{00000000-0005-0000-0000-000097270000}"/>
    <cellStyle name="SAPBEXexcGood3 6 3 3" xfId="9977" xr:uid="{00000000-0005-0000-0000-000098270000}"/>
    <cellStyle name="SAPBEXexcGood3 6 3 4" xfId="9978" xr:uid="{00000000-0005-0000-0000-000099270000}"/>
    <cellStyle name="SAPBEXexcGood3 6 4" xfId="9979" xr:uid="{00000000-0005-0000-0000-00009A270000}"/>
    <cellStyle name="SAPBEXexcGood3 6 4 2" xfId="9980" xr:uid="{00000000-0005-0000-0000-00009B270000}"/>
    <cellStyle name="SAPBEXexcGood3 6 4 3" xfId="9981" xr:uid="{00000000-0005-0000-0000-00009C270000}"/>
    <cellStyle name="SAPBEXexcGood3 6 4 4" xfId="9982" xr:uid="{00000000-0005-0000-0000-00009D270000}"/>
    <cellStyle name="SAPBEXexcGood3 6 5" xfId="9983" xr:uid="{00000000-0005-0000-0000-00009E270000}"/>
    <cellStyle name="SAPBEXexcGood3 6 5 2" xfId="9984" xr:uid="{00000000-0005-0000-0000-00009F270000}"/>
    <cellStyle name="SAPBEXexcGood3 6 5 3" xfId="9985" xr:uid="{00000000-0005-0000-0000-0000A0270000}"/>
    <cellStyle name="SAPBEXexcGood3 6 5 4" xfId="9986" xr:uid="{00000000-0005-0000-0000-0000A1270000}"/>
    <cellStyle name="SAPBEXexcGood3 6 6" xfId="9987" xr:uid="{00000000-0005-0000-0000-0000A2270000}"/>
    <cellStyle name="SAPBEXexcGood3 6 7" xfId="9988" xr:uid="{00000000-0005-0000-0000-0000A3270000}"/>
    <cellStyle name="SAPBEXexcGood3 6 8" xfId="9989" xr:uid="{00000000-0005-0000-0000-0000A4270000}"/>
    <cellStyle name="SAPBEXexcGood3 6 9" xfId="9990" xr:uid="{00000000-0005-0000-0000-0000A5270000}"/>
    <cellStyle name="SAPBEXexcGood3 7" xfId="9991" xr:uid="{00000000-0005-0000-0000-0000A6270000}"/>
    <cellStyle name="SAPBEXexcGood3 7 10" xfId="9992" xr:uid="{00000000-0005-0000-0000-0000A7270000}"/>
    <cellStyle name="SAPBEXexcGood3 7 2" xfId="9993" xr:uid="{00000000-0005-0000-0000-0000A8270000}"/>
    <cellStyle name="SAPBEXexcGood3 7 2 2" xfId="9994" xr:uid="{00000000-0005-0000-0000-0000A9270000}"/>
    <cellStyle name="SAPBEXexcGood3 7 2 3" xfId="9995" xr:uid="{00000000-0005-0000-0000-0000AA270000}"/>
    <cellStyle name="SAPBEXexcGood3 7 2 4" xfId="9996" xr:uid="{00000000-0005-0000-0000-0000AB270000}"/>
    <cellStyle name="SAPBEXexcGood3 7 3" xfId="9997" xr:uid="{00000000-0005-0000-0000-0000AC270000}"/>
    <cellStyle name="SAPBEXexcGood3 7 3 2" xfId="9998" xr:uid="{00000000-0005-0000-0000-0000AD270000}"/>
    <cellStyle name="SAPBEXexcGood3 7 3 3" xfId="9999" xr:uid="{00000000-0005-0000-0000-0000AE270000}"/>
    <cellStyle name="SAPBEXexcGood3 7 3 4" xfId="10000" xr:uid="{00000000-0005-0000-0000-0000AF270000}"/>
    <cellStyle name="SAPBEXexcGood3 7 4" xfId="10001" xr:uid="{00000000-0005-0000-0000-0000B0270000}"/>
    <cellStyle name="SAPBEXexcGood3 7 4 2" xfId="10002" xr:uid="{00000000-0005-0000-0000-0000B1270000}"/>
    <cellStyle name="SAPBEXexcGood3 7 4 3" xfId="10003" xr:uid="{00000000-0005-0000-0000-0000B2270000}"/>
    <cellStyle name="SAPBEXexcGood3 7 4 4" xfId="10004" xr:uid="{00000000-0005-0000-0000-0000B3270000}"/>
    <cellStyle name="SAPBEXexcGood3 7 5" xfId="10005" xr:uid="{00000000-0005-0000-0000-0000B4270000}"/>
    <cellStyle name="SAPBEXexcGood3 7 5 2" xfId="10006" xr:uid="{00000000-0005-0000-0000-0000B5270000}"/>
    <cellStyle name="SAPBEXexcGood3 7 5 3" xfId="10007" xr:uid="{00000000-0005-0000-0000-0000B6270000}"/>
    <cellStyle name="SAPBEXexcGood3 7 5 4" xfId="10008" xr:uid="{00000000-0005-0000-0000-0000B7270000}"/>
    <cellStyle name="SAPBEXexcGood3 7 6" xfId="10009" xr:uid="{00000000-0005-0000-0000-0000B8270000}"/>
    <cellStyle name="SAPBEXexcGood3 7 7" xfId="10010" xr:uid="{00000000-0005-0000-0000-0000B9270000}"/>
    <cellStyle name="SAPBEXexcGood3 7 8" xfId="10011" xr:uid="{00000000-0005-0000-0000-0000BA270000}"/>
    <cellStyle name="SAPBEXexcGood3 7 9" xfId="10012" xr:uid="{00000000-0005-0000-0000-0000BB270000}"/>
    <cellStyle name="SAPBEXexcGood3 8" xfId="10013" xr:uid="{00000000-0005-0000-0000-0000BC270000}"/>
    <cellStyle name="SAPBEXexcGood3 8 2" xfId="10014" xr:uid="{00000000-0005-0000-0000-0000BD270000}"/>
    <cellStyle name="SAPBEXexcGood3 8 3" xfId="10015" xr:uid="{00000000-0005-0000-0000-0000BE270000}"/>
    <cellStyle name="SAPBEXexcGood3 8 4" xfId="10016" xr:uid="{00000000-0005-0000-0000-0000BF270000}"/>
    <cellStyle name="SAPBEXexcGood3 8 5" xfId="10017" xr:uid="{00000000-0005-0000-0000-0000C0270000}"/>
    <cellStyle name="SAPBEXexcGood3 8 6" xfId="10018" xr:uid="{00000000-0005-0000-0000-0000C1270000}"/>
    <cellStyle name="SAPBEXexcGood3 9" xfId="10019" xr:uid="{00000000-0005-0000-0000-0000C2270000}"/>
    <cellStyle name="SAPBEXexcGood3 9 2" xfId="10020" xr:uid="{00000000-0005-0000-0000-0000C3270000}"/>
    <cellStyle name="SAPBEXexcGood3 9 3" xfId="10021" xr:uid="{00000000-0005-0000-0000-0000C4270000}"/>
    <cellStyle name="SAPBEXexcGood3 9 4" xfId="10022" xr:uid="{00000000-0005-0000-0000-0000C5270000}"/>
    <cellStyle name="SAPBEXexcGood3 9 5" xfId="10023" xr:uid="{00000000-0005-0000-0000-0000C6270000}"/>
    <cellStyle name="SAPBEXexcGood3 9 6" xfId="10024" xr:uid="{00000000-0005-0000-0000-0000C7270000}"/>
    <cellStyle name="SAPBEXexcGood3_Receipts" xfId="10025" xr:uid="{00000000-0005-0000-0000-0000C8270000}"/>
    <cellStyle name="SAPBEXfilterDrill" xfId="10026" xr:uid="{00000000-0005-0000-0000-0000C9270000}"/>
    <cellStyle name="SAPBEXfilterDrill 10" xfId="10027" xr:uid="{00000000-0005-0000-0000-0000CA270000}"/>
    <cellStyle name="SAPBEXfilterDrill 10 2" xfId="10028" xr:uid="{00000000-0005-0000-0000-0000CB270000}"/>
    <cellStyle name="SAPBEXfilterDrill 10 3" xfId="10029" xr:uid="{00000000-0005-0000-0000-0000CC270000}"/>
    <cellStyle name="SAPBEXfilterDrill 10 4" xfId="10030" xr:uid="{00000000-0005-0000-0000-0000CD270000}"/>
    <cellStyle name="SAPBEXfilterDrill 10 5" xfId="10031" xr:uid="{00000000-0005-0000-0000-0000CE270000}"/>
    <cellStyle name="SAPBEXfilterDrill 10 6" xfId="10032" xr:uid="{00000000-0005-0000-0000-0000CF270000}"/>
    <cellStyle name="SAPBEXfilterDrill 11" xfId="10033" xr:uid="{00000000-0005-0000-0000-0000D0270000}"/>
    <cellStyle name="SAPBEXfilterDrill 11 2" xfId="10034" xr:uid="{00000000-0005-0000-0000-0000D1270000}"/>
    <cellStyle name="SAPBEXfilterDrill 11 3" xfId="10035" xr:uid="{00000000-0005-0000-0000-0000D2270000}"/>
    <cellStyle name="SAPBEXfilterDrill 11 4" xfId="10036" xr:uid="{00000000-0005-0000-0000-0000D3270000}"/>
    <cellStyle name="SAPBEXfilterDrill 11 5" xfId="10037" xr:uid="{00000000-0005-0000-0000-0000D4270000}"/>
    <cellStyle name="SAPBEXfilterDrill 11 6" xfId="10038" xr:uid="{00000000-0005-0000-0000-0000D5270000}"/>
    <cellStyle name="SAPBEXfilterDrill 12" xfId="10039" xr:uid="{00000000-0005-0000-0000-0000D6270000}"/>
    <cellStyle name="SAPBEXfilterDrill 12 2" xfId="10040" xr:uid="{00000000-0005-0000-0000-0000D7270000}"/>
    <cellStyle name="SAPBEXfilterDrill 12 3" xfId="10041" xr:uid="{00000000-0005-0000-0000-0000D8270000}"/>
    <cellStyle name="SAPBEXfilterDrill 12 4" xfId="10042" xr:uid="{00000000-0005-0000-0000-0000D9270000}"/>
    <cellStyle name="SAPBEXfilterDrill 12 5" xfId="10043" xr:uid="{00000000-0005-0000-0000-0000DA270000}"/>
    <cellStyle name="SAPBEXfilterDrill 12 6" xfId="10044" xr:uid="{00000000-0005-0000-0000-0000DB270000}"/>
    <cellStyle name="SAPBEXfilterDrill 13" xfId="10045" xr:uid="{00000000-0005-0000-0000-0000DC270000}"/>
    <cellStyle name="SAPBEXfilterDrill 13 2" xfId="10046" xr:uid="{00000000-0005-0000-0000-0000DD270000}"/>
    <cellStyle name="SAPBEXfilterDrill 13 3" xfId="10047" xr:uid="{00000000-0005-0000-0000-0000DE270000}"/>
    <cellStyle name="SAPBEXfilterDrill 13 4" xfId="10048" xr:uid="{00000000-0005-0000-0000-0000DF270000}"/>
    <cellStyle name="SAPBEXfilterDrill 13 5" xfId="10049" xr:uid="{00000000-0005-0000-0000-0000E0270000}"/>
    <cellStyle name="SAPBEXfilterDrill 13 6" xfId="10050" xr:uid="{00000000-0005-0000-0000-0000E1270000}"/>
    <cellStyle name="SAPBEXfilterDrill 14" xfId="10051" xr:uid="{00000000-0005-0000-0000-0000E2270000}"/>
    <cellStyle name="SAPBEXfilterDrill 14 2" xfId="10052" xr:uid="{00000000-0005-0000-0000-0000E3270000}"/>
    <cellStyle name="SAPBEXfilterDrill 14 3" xfId="10053" xr:uid="{00000000-0005-0000-0000-0000E4270000}"/>
    <cellStyle name="SAPBEXfilterDrill 14 4" xfId="10054" xr:uid="{00000000-0005-0000-0000-0000E5270000}"/>
    <cellStyle name="SAPBEXfilterDrill 14 5" xfId="10055" xr:uid="{00000000-0005-0000-0000-0000E6270000}"/>
    <cellStyle name="SAPBEXfilterDrill 14 6" xfId="10056" xr:uid="{00000000-0005-0000-0000-0000E7270000}"/>
    <cellStyle name="SAPBEXfilterDrill 15" xfId="10057" xr:uid="{00000000-0005-0000-0000-0000E8270000}"/>
    <cellStyle name="SAPBEXfilterDrill 15 2" xfId="10058" xr:uid="{00000000-0005-0000-0000-0000E9270000}"/>
    <cellStyle name="SAPBEXfilterDrill 15 3" xfId="10059" xr:uid="{00000000-0005-0000-0000-0000EA270000}"/>
    <cellStyle name="SAPBEXfilterDrill 15 4" xfId="10060" xr:uid="{00000000-0005-0000-0000-0000EB270000}"/>
    <cellStyle name="SAPBEXfilterDrill 15 5" xfId="10061" xr:uid="{00000000-0005-0000-0000-0000EC270000}"/>
    <cellStyle name="SAPBEXfilterDrill 15 6" xfId="10062" xr:uid="{00000000-0005-0000-0000-0000ED270000}"/>
    <cellStyle name="SAPBEXfilterDrill 16" xfId="10063" xr:uid="{00000000-0005-0000-0000-0000EE270000}"/>
    <cellStyle name="SAPBEXfilterDrill 16 2" xfId="10064" xr:uid="{00000000-0005-0000-0000-0000EF270000}"/>
    <cellStyle name="SAPBEXfilterDrill 16 3" xfId="10065" xr:uid="{00000000-0005-0000-0000-0000F0270000}"/>
    <cellStyle name="SAPBEXfilterDrill 16 4" xfId="10066" xr:uid="{00000000-0005-0000-0000-0000F1270000}"/>
    <cellStyle name="SAPBEXfilterDrill 16 5" xfId="10067" xr:uid="{00000000-0005-0000-0000-0000F2270000}"/>
    <cellStyle name="SAPBEXfilterDrill 16 6" xfId="10068" xr:uid="{00000000-0005-0000-0000-0000F3270000}"/>
    <cellStyle name="SAPBEXfilterDrill 17" xfId="10069" xr:uid="{00000000-0005-0000-0000-0000F4270000}"/>
    <cellStyle name="SAPBEXfilterDrill 17 2" xfId="10070" xr:uid="{00000000-0005-0000-0000-0000F5270000}"/>
    <cellStyle name="SAPBEXfilterDrill 17 3" xfId="10071" xr:uid="{00000000-0005-0000-0000-0000F6270000}"/>
    <cellStyle name="SAPBEXfilterDrill 17 4" xfId="10072" xr:uid="{00000000-0005-0000-0000-0000F7270000}"/>
    <cellStyle name="SAPBEXfilterDrill 17 5" xfId="10073" xr:uid="{00000000-0005-0000-0000-0000F8270000}"/>
    <cellStyle name="SAPBEXfilterDrill 17 6" xfId="10074" xr:uid="{00000000-0005-0000-0000-0000F9270000}"/>
    <cellStyle name="SAPBEXfilterDrill 18" xfId="10075" xr:uid="{00000000-0005-0000-0000-0000FA270000}"/>
    <cellStyle name="SAPBEXfilterDrill 18 2" xfId="10076" xr:uid="{00000000-0005-0000-0000-0000FB270000}"/>
    <cellStyle name="SAPBEXfilterDrill 18 3" xfId="10077" xr:uid="{00000000-0005-0000-0000-0000FC270000}"/>
    <cellStyle name="SAPBEXfilterDrill 18 4" xfId="10078" xr:uid="{00000000-0005-0000-0000-0000FD270000}"/>
    <cellStyle name="SAPBEXfilterDrill 18 5" xfId="10079" xr:uid="{00000000-0005-0000-0000-0000FE270000}"/>
    <cellStyle name="SAPBEXfilterDrill 18 6" xfId="10080" xr:uid="{00000000-0005-0000-0000-0000FF270000}"/>
    <cellStyle name="SAPBEXfilterDrill 19" xfId="10081" xr:uid="{00000000-0005-0000-0000-000000280000}"/>
    <cellStyle name="SAPBEXfilterDrill 19 2" xfId="10082" xr:uid="{00000000-0005-0000-0000-000001280000}"/>
    <cellStyle name="SAPBEXfilterDrill 19 3" xfId="10083" xr:uid="{00000000-0005-0000-0000-000002280000}"/>
    <cellStyle name="SAPBEXfilterDrill 19 4" xfId="10084" xr:uid="{00000000-0005-0000-0000-000003280000}"/>
    <cellStyle name="SAPBEXfilterDrill 19 5" xfId="10085" xr:uid="{00000000-0005-0000-0000-000004280000}"/>
    <cellStyle name="SAPBEXfilterDrill 19 6" xfId="10086" xr:uid="{00000000-0005-0000-0000-000005280000}"/>
    <cellStyle name="SAPBEXfilterDrill 2" xfId="10087" xr:uid="{00000000-0005-0000-0000-000006280000}"/>
    <cellStyle name="SAPBEXfilterDrill 2 10" xfId="10088" xr:uid="{00000000-0005-0000-0000-000007280000}"/>
    <cellStyle name="SAPBEXfilterDrill 2 10 2" xfId="10089" xr:uid="{00000000-0005-0000-0000-000008280000}"/>
    <cellStyle name="SAPBEXfilterDrill 2 10 3" xfId="10090" xr:uid="{00000000-0005-0000-0000-000009280000}"/>
    <cellStyle name="SAPBEXfilterDrill 2 10 4" xfId="10091" xr:uid="{00000000-0005-0000-0000-00000A280000}"/>
    <cellStyle name="SAPBEXfilterDrill 2 11" xfId="10092" xr:uid="{00000000-0005-0000-0000-00000B280000}"/>
    <cellStyle name="SAPBEXfilterDrill 2 11 2" xfId="10093" xr:uid="{00000000-0005-0000-0000-00000C280000}"/>
    <cellStyle name="SAPBEXfilterDrill 2 11 3" xfId="10094" xr:uid="{00000000-0005-0000-0000-00000D280000}"/>
    <cellStyle name="SAPBEXfilterDrill 2 11 4" xfId="10095" xr:uid="{00000000-0005-0000-0000-00000E280000}"/>
    <cellStyle name="SAPBEXfilterDrill 2 12" xfId="10096" xr:uid="{00000000-0005-0000-0000-00000F280000}"/>
    <cellStyle name="SAPBEXfilterDrill 2 12 2" xfId="10097" xr:uid="{00000000-0005-0000-0000-000010280000}"/>
    <cellStyle name="SAPBEXfilterDrill 2 12 3" xfId="10098" xr:uid="{00000000-0005-0000-0000-000011280000}"/>
    <cellStyle name="SAPBEXfilterDrill 2 12 4" xfId="10099" xr:uid="{00000000-0005-0000-0000-000012280000}"/>
    <cellStyle name="SAPBEXfilterDrill 2 13" xfId="10100" xr:uid="{00000000-0005-0000-0000-000013280000}"/>
    <cellStyle name="SAPBEXfilterDrill 2 13 2" xfId="10101" xr:uid="{00000000-0005-0000-0000-000014280000}"/>
    <cellStyle name="SAPBEXfilterDrill 2 13 3" xfId="10102" xr:uid="{00000000-0005-0000-0000-000015280000}"/>
    <cellStyle name="SAPBEXfilterDrill 2 13 4" xfId="10103" xr:uid="{00000000-0005-0000-0000-000016280000}"/>
    <cellStyle name="SAPBEXfilterDrill 2 14" xfId="10104" xr:uid="{00000000-0005-0000-0000-000017280000}"/>
    <cellStyle name="SAPBEXfilterDrill 2 15" xfId="10105" xr:uid="{00000000-0005-0000-0000-000018280000}"/>
    <cellStyle name="SAPBEXfilterDrill 2 16" xfId="10106" xr:uid="{00000000-0005-0000-0000-000019280000}"/>
    <cellStyle name="SAPBEXfilterDrill 2 17" xfId="10107" xr:uid="{00000000-0005-0000-0000-00001A280000}"/>
    <cellStyle name="SAPBEXfilterDrill 2 18" xfId="10108" xr:uid="{00000000-0005-0000-0000-00001B280000}"/>
    <cellStyle name="SAPBEXfilterDrill 2 2" xfId="10109" xr:uid="{00000000-0005-0000-0000-00001C280000}"/>
    <cellStyle name="SAPBEXfilterDrill 2 2 2" xfId="10110" xr:uid="{00000000-0005-0000-0000-00001D280000}"/>
    <cellStyle name="SAPBEXfilterDrill 2 2 2 2" xfId="10111" xr:uid="{00000000-0005-0000-0000-00001E280000}"/>
    <cellStyle name="SAPBEXfilterDrill 2 2 2 3" xfId="10112" xr:uid="{00000000-0005-0000-0000-00001F280000}"/>
    <cellStyle name="SAPBEXfilterDrill 2 2 2 4" xfId="10113" xr:uid="{00000000-0005-0000-0000-000020280000}"/>
    <cellStyle name="SAPBEXfilterDrill 2 2 2 5" xfId="10114" xr:uid="{00000000-0005-0000-0000-000021280000}"/>
    <cellStyle name="SAPBEXfilterDrill 2 2 2 6" xfId="10115" xr:uid="{00000000-0005-0000-0000-000022280000}"/>
    <cellStyle name="SAPBEXfilterDrill 2 2 3" xfId="10116" xr:uid="{00000000-0005-0000-0000-000023280000}"/>
    <cellStyle name="SAPBEXfilterDrill 2 2 3 2" xfId="10117" xr:uid="{00000000-0005-0000-0000-000024280000}"/>
    <cellStyle name="SAPBEXfilterDrill 2 2 3 3" xfId="10118" xr:uid="{00000000-0005-0000-0000-000025280000}"/>
    <cellStyle name="SAPBEXfilterDrill 2 2 3 4" xfId="10119" xr:uid="{00000000-0005-0000-0000-000026280000}"/>
    <cellStyle name="SAPBEXfilterDrill 2 2 3 5" xfId="10120" xr:uid="{00000000-0005-0000-0000-000027280000}"/>
    <cellStyle name="SAPBEXfilterDrill 2 2 3 6" xfId="10121" xr:uid="{00000000-0005-0000-0000-000028280000}"/>
    <cellStyle name="SAPBEXfilterDrill 2 2 4" xfId="10122" xr:uid="{00000000-0005-0000-0000-000029280000}"/>
    <cellStyle name="SAPBEXfilterDrill 2 2 4 2" xfId="10123" xr:uid="{00000000-0005-0000-0000-00002A280000}"/>
    <cellStyle name="SAPBEXfilterDrill 2 2 4 3" xfId="10124" xr:uid="{00000000-0005-0000-0000-00002B280000}"/>
    <cellStyle name="SAPBEXfilterDrill 2 2 4 4" xfId="10125" xr:uid="{00000000-0005-0000-0000-00002C280000}"/>
    <cellStyle name="SAPBEXfilterDrill 2 2 4 5" xfId="10126" xr:uid="{00000000-0005-0000-0000-00002D280000}"/>
    <cellStyle name="SAPBEXfilterDrill 2 2 4 6" xfId="10127" xr:uid="{00000000-0005-0000-0000-00002E280000}"/>
    <cellStyle name="SAPBEXfilterDrill 2 2 5" xfId="10128" xr:uid="{00000000-0005-0000-0000-00002F280000}"/>
    <cellStyle name="SAPBEXfilterDrill 2 2 5 2" xfId="10129" xr:uid="{00000000-0005-0000-0000-000030280000}"/>
    <cellStyle name="SAPBEXfilterDrill 2 2 5 3" xfId="10130" xr:uid="{00000000-0005-0000-0000-000031280000}"/>
    <cellStyle name="SAPBEXfilterDrill 2 2 5 4" xfId="10131" xr:uid="{00000000-0005-0000-0000-000032280000}"/>
    <cellStyle name="SAPBEXfilterDrill 2 2 5 5" xfId="10132" xr:uid="{00000000-0005-0000-0000-000033280000}"/>
    <cellStyle name="SAPBEXfilterDrill 2 2 5 6" xfId="10133" xr:uid="{00000000-0005-0000-0000-000034280000}"/>
    <cellStyle name="SAPBEXfilterDrill 2 2 6" xfId="10134" xr:uid="{00000000-0005-0000-0000-000035280000}"/>
    <cellStyle name="SAPBEXfilterDrill 2 2 7" xfId="10135" xr:uid="{00000000-0005-0000-0000-000036280000}"/>
    <cellStyle name="SAPBEXfilterDrill 2 2 8" xfId="10136" xr:uid="{00000000-0005-0000-0000-000037280000}"/>
    <cellStyle name="SAPBEXfilterDrill 2 3" xfId="10137" xr:uid="{00000000-0005-0000-0000-000038280000}"/>
    <cellStyle name="SAPBEXfilterDrill 2 3 2" xfId="10138" xr:uid="{00000000-0005-0000-0000-000039280000}"/>
    <cellStyle name="SAPBEXfilterDrill 2 3 2 2" xfId="10139" xr:uid="{00000000-0005-0000-0000-00003A280000}"/>
    <cellStyle name="SAPBEXfilterDrill 2 3 2 3" xfId="10140" xr:uid="{00000000-0005-0000-0000-00003B280000}"/>
    <cellStyle name="SAPBEXfilterDrill 2 3 2 4" xfId="10141" xr:uid="{00000000-0005-0000-0000-00003C280000}"/>
    <cellStyle name="SAPBEXfilterDrill 2 3 2 5" xfId="10142" xr:uid="{00000000-0005-0000-0000-00003D280000}"/>
    <cellStyle name="SAPBEXfilterDrill 2 3 2 6" xfId="10143" xr:uid="{00000000-0005-0000-0000-00003E280000}"/>
    <cellStyle name="SAPBEXfilterDrill 2 3 3" xfId="10144" xr:uid="{00000000-0005-0000-0000-00003F280000}"/>
    <cellStyle name="SAPBEXfilterDrill 2 3 3 2" xfId="10145" xr:uid="{00000000-0005-0000-0000-000040280000}"/>
    <cellStyle name="SAPBEXfilterDrill 2 3 3 3" xfId="10146" xr:uid="{00000000-0005-0000-0000-000041280000}"/>
    <cellStyle name="SAPBEXfilterDrill 2 3 3 4" xfId="10147" xr:uid="{00000000-0005-0000-0000-000042280000}"/>
    <cellStyle name="SAPBEXfilterDrill 2 3 3 5" xfId="10148" xr:uid="{00000000-0005-0000-0000-000043280000}"/>
    <cellStyle name="SAPBEXfilterDrill 2 3 3 6" xfId="10149" xr:uid="{00000000-0005-0000-0000-000044280000}"/>
    <cellStyle name="SAPBEXfilterDrill 2 3 4" xfId="10150" xr:uid="{00000000-0005-0000-0000-000045280000}"/>
    <cellStyle name="SAPBEXfilterDrill 2 3 4 2" xfId="10151" xr:uid="{00000000-0005-0000-0000-000046280000}"/>
    <cellStyle name="SAPBEXfilterDrill 2 3 4 3" xfId="10152" xr:uid="{00000000-0005-0000-0000-000047280000}"/>
    <cellStyle name="SAPBEXfilterDrill 2 3 4 4" xfId="10153" xr:uid="{00000000-0005-0000-0000-000048280000}"/>
    <cellStyle name="SAPBEXfilterDrill 2 3 4 5" xfId="10154" xr:uid="{00000000-0005-0000-0000-000049280000}"/>
    <cellStyle name="SAPBEXfilterDrill 2 3 4 6" xfId="10155" xr:uid="{00000000-0005-0000-0000-00004A280000}"/>
    <cellStyle name="SAPBEXfilterDrill 2 3 5" xfId="10156" xr:uid="{00000000-0005-0000-0000-00004B280000}"/>
    <cellStyle name="SAPBEXfilterDrill 2 3 5 2" xfId="10157" xr:uid="{00000000-0005-0000-0000-00004C280000}"/>
    <cellStyle name="SAPBEXfilterDrill 2 3 5 3" xfId="10158" xr:uid="{00000000-0005-0000-0000-00004D280000}"/>
    <cellStyle name="SAPBEXfilterDrill 2 3 5 4" xfId="10159" xr:uid="{00000000-0005-0000-0000-00004E280000}"/>
    <cellStyle name="SAPBEXfilterDrill 2 3 5 5" xfId="10160" xr:uid="{00000000-0005-0000-0000-00004F280000}"/>
    <cellStyle name="SAPBEXfilterDrill 2 3 5 6" xfId="10161" xr:uid="{00000000-0005-0000-0000-000050280000}"/>
    <cellStyle name="SAPBEXfilterDrill 2 3 6" xfId="10162" xr:uid="{00000000-0005-0000-0000-000051280000}"/>
    <cellStyle name="SAPBEXfilterDrill 2 3 7" xfId="10163" xr:uid="{00000000-0005-0000-0000-000052280000}"/>
    <cellStyle name="SAPBEXfilterDrill 2 3 8" xfId="10164" xr:uid="{00000000-0005-0000-0000-000053280000}"/>
    <cellStyle name="SAPBEXfilterDrill 2 4" xfId="10165" xr:uid="{00000000-0005-0000-0000-000054280000}"/>
    <cellStyle name="SAPBEXfilterDrill 2 4 2" xfId="10166" xr:uid="{00000000-0005-0000-0000-000055280000}"/>
    <cellStyle name="SAPBEXfilterDrill 2 4 2 2" xfId="10167" xr:uid="{00000000-0005-0000-0000-000056280000}"/>
    <cellStyle name="SAPBEXfilterDrill 2 4 2 3" xfId="10168" xr:uid="{00000000-0005-0000-0000-000057280000}"/>
    <cellStyle name="SAPBEXfilterDrill 2 4 2 4" xfId="10169" xr:uid="{00000000-0005-0000-0000-000058280000}"/>
    <cellStyle name="SAPBEXfilterDrill 2 4 2 5" xfId="10170" xr:uid="{00000000-0005-0000-0000-000059280000}"/>
    <cellStyle name="SAPBEXfilterDrill 2 4 2 6" xfId="10171" xr:uid="{00000000-0005-0000-0000-00005A280000}"/>
    <cellStyle name="SAPBEXfilterDrill 2 4 3" xfId="10172" xr:uid="{00000000-0005-0000-0000-00005B280000}"/>
    <cellStyle name="SAPBEXfilterDrill 2 4 3 2" xfId="10173" xr:uid="{00000000-0005-0000-0000-00005C280000}"/>
    <cellStyle name="SAPBEXfilterDrill 2 4 3 3" xfId="10174" xr:uid="{00000000-0005-0000-0000-00005D280000}"/>
    <cellStyle name="SAPBEXfilterDrill 2 4 3 4" xfId="10175" xr:uid="{00000000-0005-0000-0000-00005E280000}"/>
    <cellStyle name="SAPBEXfilterDrill 2 4 3 5" xfId="10176" xr:uid="{00000000-0005-0000-0000-00005F280000}"/>
    <cellStyle name="SAPBEXfilterDrill 2 4 3 6" xfId="10177" xr:uid="{00000000-0005-0000-0000-000060280000}"/>
    <cellStyle name="SAPBEXfilterDrill 2 4 4" xfId="10178" xr:uid="{00000000-0005-0000-0000-000061280000}"/>
    <cellStyle name="SAPBEXfilterDrill 2 4 4 2" xfId="10179" xr:uid="{00000000-0005-0000-0000-000062280000}"/>
    <cellStyle name="SAPBEXfilterDrill 2 4 4 3" xfId="10180" xr:uid="{00000000-0005-0000-0000-000063280000}"/>
    <cellStyle name="SAPBEXfilterDrill 2 4 4 4" xfId="10181" xr:uid="{00000000-0005-0000-0000-000064280000}"/>
    <cellStyle name="SAPBEXfilterDrill 2 4 4 5" xfId="10182" xr:uid="{00000000-0005-0000-0000-000065280000}"/>
    <cellStyle name="SAPBEXfilterDrill 2 4 4 6" xfId="10183" xr:uid="{00000000-0005-0000-0000-000066280000}"/>
    <cellStyle name="SAPBEXfilterDrill 2 4 5" xfId="10184" xr:uid="{00000000-0005-0000-0000-000067280000}"/>
    <cellStyle name="SAPBEXfilterDrill 2 4 5 2" xfId="10185" xr:uid="{00000000-0005-0000-0000-000068280000}"/>
    <cellStyle name="SAPBEXfilterDrill 2 4 5 3" xfId="10186" xr:uid="{00000000-0005-0000-0000-000069280000}"/>
    <cellStyle name="SAPBEXfilterDrill 2 4 5 4" xfId="10187" xr:uid="{00000000-0005-0000-0000-00006A280000}"/>
    <cellStyle name="SAPBEXfilterDrill 2 4 5 5" xfId="10188" xr:uid="{00000000-0005-0000-0000-00006B280000}"/>
    <cellStyle name="SAPBEXfilterDrill 2 4 5 6" xfId="10189" xr:uid="{00000000-0005-0000-0000-00006C280000}"/>
    <cellStyle name="SAPBEXfilterDrill 2 4 6" xfId="10190" xr:uid="{00000000-0005-0000-0000-00006D280000}"/>
    <cellStyle name="SAPBEXfilterDrill 2 4 7" xfId="10191" xr:uid="{00000000-0005-0000-0000-00006E280000}"/>
    <cellStyle name="SAPBEXfilterDrill 2 4 8" xfId="10192" xr:uid="{00000000-0005-0000-0000-00006F280000}"/>
    <cellStyle name="SAPBEXfilterDrill 2 5" xfId="10193" xr:uid="{00000000-0005-0000-0000-000070280000}"/>
    <cellStyle name="SAPBEXfilterDrill 2 5 2" xfId="10194" xr:uid="{00000000-0005-0000-0000-000071280000}"/>
    <cellStyle name="SAPBEXfilterDrill 2 5 3" xfId="10195" xr:uid="{00000000-0005-0000-0000-000072280000}"/>
    <cellStyle name="SAPBEXfilterDrill 2 5 4" xfId="10196" xr:uid="{00000000-0005-0000-0000-000073280000}"/>
    <cellStyle name="SAPBEXfilterDrill 2 6" xfId="10197" xr:uid="{00000000-0005-0000-0000-000074280000}"/>
    <cellStyle name="SAPBEXfilterDrill 2 6 2" xfId="10198" xr:uid="{00000000-0005-0000-0000-000075280000}"/>
    <cellStyle name="SAPBEXfilterDrill 2 6 3" xfId="10199" xr:uid="{00000000-0005-0000-0000-000076280000}"/>
    <cellStyle name="SAPBEXfilterDrill 2 6 4" xfId="10200" xr:uid="{00000000-0005-0000-0000-000077280000}"/>
    <cellStyle name="SAPBEXfilterDrill 2 7" xfId="10201" xr:uid="{00000000-0005-0000-0000-000078280000}"/>
    <cellStyle name="SAPBEXfilterDrill 2 7 2" xfId="10202" xr:uid="{00000000-0005-0000-0000-000079280000}"/>
    <cellStyle name="SAPBEXfilterDrill 2 7 3" xfId="10203" xr:uid="{00000000-0005-0000-0000-00007A280000}"/>
    <cellStyle name="SAPBEXfilterDrill 2 7 4" xfId="10204" xr:uid="{00000000-0005-0000-0000-00007B280000}"/>
    <cellStyle name="SAPBEXfilterDrill 2 8" xfId="10205" xr:uid="{00000000-0005-0000-0000-00007C280000}"/>
    <cellStyle name="SAPBEXfilterDrill 2 8 2" xfId="10206" xr:uid="{00000000-0005-0000-0000-00007D280000}"/>
    <cellStyle name="SAPBEXfilterDrill 2 8 3" xfId="10207" xr:uid="{00000000-0005-0000-0000-00007E280000}"/>
    <cellStyle name="SAPBEXfilterDrill 2 8 4" xfId="10208" xr:uid="{00000000-0005-0000-0000-00007F280000}"/>
    <cellStyle name="SAPBEXfilterDrill 2 9" xfId="10209" xr:uid="{00000000-0005-0000-0000-000080280000}"/>
    <cellStyle name="SAPBEXfilterDrill 2 9 2" xfId="10210" xr:uid="{00000000-0005-0000-0000-000081280000}"/>
    <cellStyle name="SAPBEXfilterDrill 2 9 3" xfId="10211" xr:uid="{00000000-0005-0000-0000-000082280000}"/>
    <cellStyle name="SAPBEXfilterDrill 2 9 4" xfId="10212" xr:uid="{00000000-0005-0000-0000-000083280000}"/>
    <cellStyle name="SAPBEXfilterDrill 20" xfId="10213" xr:uid="{00000000-0005-0000-0000-000084280000}"/>
    <cellStyle name="SAPBEXfilterDrill 20 2" xfId="10214" xr:uid="{00000000-0005-0000-0000-000085280000}"/>
    <cellStyle name="SAPBEXfilterDrill 20 3" xfId="10215" xr:uid="{00000000-0005-0000-0000-000086280000}"/>
    <cellStyle name="SAPBEXfilterDrill 20 4" xfId="10216" xr:uid="{00000000-0005-0000-0000-000087280000}"/>
    <cellStyle name="SAPBEXfilterDrill 20 5" xfId="10217" xr:uid="{00000000-0005-0000-0000-000088280000}"/>
    <cellStyle name="SAPBEXfilterDrill 20 6" xfId="10218" xr:uid="{00000000-0005-0000-0000-000089280000}"/>
    <cellStyle name="SAPBEXfilterDrill 21" xfId="10219" xr:uid="{00000000-0005-0000-0000-00008A280000}"/>
    <cellStyle name="SAPBEXfilterDrill 21 2" xfId="10220" xr:uid="{00000000-0005-0000-0000-00008B280000}"/>
    <cellStyle name="SAPBEXfilterDrill 21 3" xfId="10221" xr:uid="{00000000-0005-0000-0000-00008C280000}"/>
    <cellStyle name="SAPBEXfilterDrill 21 4" xfId="10222" xr:uid="{00000000-0005-0000-0000-00008D280000}"/>
    <cellStyle name="SAPBEXfilterDrill 21 5" xfId="10223" xr:uid="{00000000-0005-0000-0000-00008E280000}"/>
    <cellStyle name="SAPBEXfilterDrill 21 6" xfId="10224" xr:uid="{00000000-0005-0000-0000-00008F280000}"/>
    <cellStyle name="SAPBEXfilterDrill 22" xfId="10225" xr:uid="{00000000-0005-0000-0000-000090280000}"/>
    <cellStyle name="SAPBEXfilterDrill 22 2" xfId="10226" xr:uid="{00000000-0005-0000-0000-000091280000}"/>
    <cellStyle name="SAPBEXfilterDrill 22 3" xfId="10227" xr:uid="{00000000-0005-0000-0000-000092280000}"/>
    <cellStyle name="SAPBEXfilterDrill 22 4" xfId="10228" xr:uid="{00000000-0005-0000-0000-000093280000}"/>
    <cellStyle name="SAPBEXfilterDrill 22 5" xfId="10229" xr:uid="{00000000-0005-0000-0000-000094280000}"/>
    <cellStyle name="SAPBEXfilterDrill 22 6" xfId="10230" xr:uid="{00000000-0005-0000-0000-000095280000}"/>
    <cellStyle name="SAPBEXfilterDrill 23" xfId="10231" xr:uid="{00000000-0005-0000-0000-000096280000}"/>
    <cellStyle name="SAPBEXfilterDrill 23 2" xfId="10232" xr:uid="{00000000-0005-0000-0000-000097280000}"/>
    <cellStyle name="SAPBEXfilterDrill 23 3" xfId="10233" xr:uid="{00000000-0005-0000-0000-000098280000}"/>
    <cellStyle name="SAPBEXfilterDrill 23 4" xfId="10234" xr:uid="{00000000-0005-0000-0000-000099280000}"/>
    <cellStyle name="SAPBEXfilterDrill 23 5" xfId="10235" xr:uid="{00000000-0005-0000-0000-00009A280000}"/>
    <cellStyle name="SAPBEXfilterDrill 23 6" xfId="10236" xr:uid="{00000000-0005-0000-0000-00009B280000}"/>
    <cellStyle name="SAPBEXfilterDrill 24" xfId="10237" xr:uid="{00000000-0005-0000-0000-00009C280000}"/>
    <cellStyle name="SAPBEXfilterDrill 24 2" xfId="10238" xr:uid="{00000000-0005-0000-0000-00009D280000}"/>
    <cellStyle name="SAPBEXfilterDrill 24 3" xfId="10239" xr:uid="{00000000-0005-0000-0000-00009E280000}"/>
    <cellStyle name="SAPBEXfilterDrill 24 4" xfId="10240" xr:uid="{00000000-0005-0000-0000-00009F280000}"/>
    <cellStyle name="SAPBEXfilterDrill 24 5" xfId="10241" xr:uid="{00000000-0005-0000-0000-0000A0280000}"/>
    <cellStyle name="SAPBEXfilterDrill 24 6" xfId="10242" xr:uid="{00000000-0005-0000-0000-0000A1280000}"/>
    <cellStyle name="SAPBEXfilterDrill 25" xfId="10243" xr:uid="{00000000-0005-0000-0000-0000A2280000}"/>
    <cellStyle name="SAPBEXfilterDrill 25 2" xfId="10244" xr:uid="{00000000-0005-0000-0000-0000A3280000}"/>
    <cellStyle name="SAPBEXfilterDrill 25 3" xfId="10245" xr:uid="{00000000-0005-0000-0000-0000A4280000}"/>
    <cellStyle name="SAPBEXfilterDrill 25 4" xfId="10246" xr:uid="{00000000-0005-0000-0000-0000A5280000}"/>
    <cellStyle name="SAPBEXfilterDrill 25 5" xfId="10247" xr:uid="{00000000-0005-0000-0000-0000A6280000}"/>
    <cellStyle name="SAPBEXfilterDrill 25 6" xfId="10248" xr:uid="{00000000-0005-0000-0000-0000A7280000}"/>
    <cellStyle name="SAPBEXfilterDrill 26" xfId="10249" xr:uid="{00000000-0005-0000-0000-0000A8280000}"/>
    <cellStyle name="SAPBEXfilterDrill 26 2" xfId="10250" xr:uid="{00000000-0005-0000-0000-0000A9280000}"/>
    <cellStyle name="SAPBEXfilterDrill 26 3" xfId="10251" xr:uid="{00000000-0005-0000-0000-0000AA280000}"/>
    <cellStyle name="SAPBEXfilterDrill 26 4" xfId="10252" xr:uid="{00000000-0005-0000-0000-0000AB280000}"/>
    <cellStyle name="SAPBEXfilterDrill 26 5" xfId="10253" xr:uid="{00000000-0005-0000-0000-0000AC280000}"/>
    <cellStyle name="SAPBEXfilterDrill 26 6" xfId="10254" xr:uid="{00000000-0005-0000-0000-0000AD280000}"/>
    <cellStyle name="SAPBEXfilterDrill 27" xfId="10255" xr:uid="{00000000-0005-0000-0000-0000AE280000}"/>
    <cellStyle name="SAPBEXfilterDrill 27 2" xfId="10256" xr:uid="{00000000-0005-0000-0000-0000AF280000}"/>
    <cellStyle name="SAPBEXfilterDrill 27 3" xfId="10257" xr:uid="{00000000-0005-0000-0000-0000B0280000}"/>
    <cellStyle name="SAPBEXfilterDrill 27 4" xfId="10258" xr:uid="{00000000-0005-0000-0000-0000B1280000}"/>
    <cellStyle name="SAPBEXfilterDrill 27 5" xfId="10259" xr:uid="{00000000-0005-0000-0000-0000B2280000}"/>
    <cellStyle name="SAPBEXfilterDrill 27 6" xfId="10260" xr:uid="{00000000-0005-0000-0000-0000B3280000}"/>
    <cellStyle name="SAPBEXfilterDrill 28" xfId="10261" xr:uid="{00000000-0005-0000-0000-0000B4280000}"/>
    <cellStyle name="SAPBEXfilterDrill 28 2" xfId="10262" xr:uid="{00000000-0005-0000-0000-0000B5280000}"/>
    <cellStyle name="SAPBEXfilterDrill 28 3" xfId="10263" xr:uid="{00000000-0005-0000-0000-0000B6280000}"/>
    <cellStyle name="SAPBEXfilterDrill 28 4" xfId="10264" xr:uid="{00000000-0005-0000-0000-0000B7280000}"/>
    <cellStyle name="SAPBEXfilterDrill 28 5" xfId="10265" xr:uid="{00000000-0005-0000-0000-0000B8280000}"/>
    <cellStyle name="SAPBEXfilterDrill 28 6" xfId="10266" xr:uid="{00000000-0005-0000-0000-0000B9280000}"/>
    <cellStyle name="SAPBEXfilterDrill 29" xfId="10267" xr:uid="{00000000-0005-0000-0000-0000BA280000}"/>
    <cellStyle name="SAPBEXfilterDrill 29 2" xfId="10268" xr:uid="{00000000-0005-0000-0000-0000BB280000}"/>
    <cellStyle name="SAPBEXfilterDrill 29 3" xfId="10269" xr:uid="{00000000-0005-0000-0000-0000BC280000}"/>
    <cellStyle name="SAPBEXfilterDrill 29 4" xfId="10270" xr:uid="{00000000-0005-0000-0000-0000BD280000}"/>
    <cellStyle name="SAPBEXfilterDrill 29 5" xfId="10271" xr:uid="{00000000-0005-0000-0000-0000BE280000}"/>
    <cellStyle name="SAPBEXfilterDrill 29 6" xfId="10272" xr:uid="{00000000-0005-0000-0000-0000BF280000}"/>
    <cellStyle name="SAPBEXfilterDrill 3" xfId="10273" xr:uid="{00000000-0005-0000-0000-0000C0280000}"/>
    <cellStyle name="SAPBEXfilterDrill 3 10" xfId="10274" xr:uid="{00000000-0005-0000-0000-0000C1280000}"/>
    <cellStyle name="SAPBEXfilterDrill 3 11" xfId="10275" xr:uid="{00000000-0005-0000-0000-0000C2280000}"/>
    <cellStyle name="SAPBEXfilterDrill 3 12" xfId="10276" xr:uid="{00000000-0005-0000-0000-0000C3280000}"/>
    <cellStyle name="SAPBEXfilterDrill 3 2" xfId="10277" xr:uid="{00000000-0005-0000-0000-0000C4280000}"/>
    <cellStyle name="SAPBEXfilterDrill 3 2 2" xfId="10278" xr:uid="{00000000-0005-0000-0000-0000C5280000}"/>
    <cellStyle name="SAPBEXfilterDrill 3 2 2 2" xfId="10279" xr:uid="{00000000-0005-0000-0000-0000C6280000}"/>
    <cellStyle name="SAPBEXfilterDrill 3 2 2 3" xfId="10280" xr:uid="{00000000-0005-0000-0000-0000C7280000}"/>
    <cellStyle name="SAPBEXfilterDrill 3 2 2 4" xfId="10281" xr:uid="{00000000-0005-0000-0000-0000C8280000}"/>
    <cellStyle name="SAPBEXfilterDrill 3 2 2 5" xfId="10282" xr:uid="{00000000-0005-0000-0000-0000C9280000}"/>
    <cellStyle name="SAPBEXfilterDrill 3 2 2 6" xfId="10283" xr:uid="{00000000-0005-0000-0000-0000CA280000}"/>
    <cellStyle name="SAPBEXfilterDrill 3 2 3" xfId="10284" xr:uid="{00000000-0005-0000-0000-0000CB280000}"/>
    <cellStyle name="SAPBEXfilterDrill 3 2 3 2" xfId="10285" xr:uid="{00000000-0005-0000-0000-0000CC280000}"/>
    <cellStyle name="SAPBEXfilterDrill 3 2 3 3" xfId="10286" xr:uid="{00000000-0005-0000-0000-0000CD280000}"/>
    <cellStyle name="SAPBEXfilterDrill 3 2 3 4" xfId="10287" xr:uid="{00000000-0005-0000-0000-0000CE280000}"/>
    <cellStyle name="SAPBEXfilterDrill 3 2 3 5" xfId="10288" xr:uid="{00000000-0005-0000-0000-0000CF280000}"/>
    <cellStyle name="SAPBEXfilterDrill 3 2 3 6" xfId="10289" xr:uid="{00000000-0005-0000-0000-0000D0280000}"/>
    <cellStyle name="SAPBEXfilterDrill 3 2 4" xfId="10290" xr:uid="{00000000-0005-0000-0000-0000D1280000}"/>
    <cellStyle name="SAPBEXfilterDrill 3 2 4 2" xfId="10291" xr:uid="{00000000-0005-0000-0000-0000D2280000}"/>
    <cellStyle name="SAPBEXfilterDrill 3 2 4 3" xfId="10292" xr:uid="{00000000-0005-0000-0000-0000D3280000}"/>
    <cellStyle name="SAPBEXfilterDrill 3 2 4 4" xfId="10293" xr:uid="{00000000-0005-0000-0000-0000D4280000}"/>
    <cellStyle name="SAPBEXfilterDrill 3 2 4 5" xfId="10294" xr:uid="{00000000-0005-0000-0000-0000D5280000}"/>
    <cellStyle name="SAPBEXfilterDrill 3 2 4 6" xfId="10295" xr:uid="{00000000-0005-0000-0000-0000D6280000}"/>
    <cellStyle name="SAPBEXfilterDrill 3 2 5" xfId="10296" xr:uid="{00000000-0005-0000-0000-0000D7280000}"/>
    <cellStyle name="SAPBEXfilterDrill 3 2 5 2" xfId="10297" xr:uid="{00000000-0005-0000-0000-0000D8280000}"/>
    <cellStyle name="SAPBEXfilterDrill 3 2 5 3" xfId="10298" xr:uid="{00000000-0005-0000-0000-0000D9280000}"/>
    <cellStyle name="SAPBEXfilterDrill 3 2 5 4" xfId="10299" xr:uid="{00000000-0005-0000-0000-0000DA280000}"/>
    <cellStyle name="SAPBEXfilterDrill 3 2 5 5" xfId="10300" xr:uid="{00000000-0005-0000-0000-0000DB280000}"/>
    <cellStyle name="SAPBEXfilterDrill 3 2 5 6" xfId="10301" xr:uid="{00000000-0005-0000-0000-0000DC280000}"/>
    <cellStyle name="SAPBEXfilterDrill 3 2 6" xfId="10302" xr:uid="{00000000-0005-0000-0000-0000DD280000}"/>
    <cellStyle name="SAPBEXfilterDrill 3 2 7" xfId="10303" xr:uid="{00000000-0005-0000-0000-0000DE280000}"/>
    <cellStyle name="SAPBEXfilterDrill 3 2 8" xfId="10304" xr:uid="{00000000-0005-0000-0000-0000DF280000}"/>
    <cellStyle name="SAPBEXfilterDrill 3 3" xfId="10305" xr:uid="{00000000-0005-0000-0000-0000E0280000}"/>
    <cellStyle name="SAPBEXfilterDrill 3 3 2" xfId="10306" xr:uid="{00000000-0005-0000-0000-0000E1280000}"/>
    <cellStyle name="SAPBEXfilterDrill 3 3 3" xfId="10307" xr:uid="{00000000-0005-0000-0000-0000E2280000}"/>
    <cellStyle name="SAPBEXfilterDrill 3 3 4" xfId="10308" xr:uid="{00000000-0005-0000-0000-0000E3280000}"/>
    <cellStyle name="SAPBEXfilterDrill 3 3 5" xfId="10309" xr:uid="{00000000-0005-0000-0000-0000E4280000}"/>
    <cellStyle name="SAPBEXfilterDrill 3 3 6" xfId="10310" xr:uid="{00000000-0005-0000-0000-0000E5280000}"/>
    <cellStyle name="SAPBEXfilterDrill 3 4" xfId="10311" xr:uid="{00000000-0005-0000-0000-0000E6280000}"/>
    <cellStyle name="SAPBEXfilterDrill 3 4 2" xfId="10312" xr:uid="{00000000-0005-0000-0000-0000E7280000}"/>
    <cellStyle name="SAPBEXfilterDrill 3 4 3" xfId="10313" xr:uid="{00000000-0005-0000-0000-0000E8280000}"/>
    <cellStyle name="SAPBEXfilterDrill 3 4 4" xfId="10314" xr:uid="{00000000-0005-0000-0000-0000E9280000}"/>
    <cellStyle name="SAPBEXfilterDrill 3 4 5" xfId="10315" xr:uid="{00000000-0005-0000-0000-0000EA280000}"/>
    <cellStyle name="SAPBEXfilterDrill 3 4 6" xfId="10316" xr:uid="{00000000-0005-0000-0000-0000EB280000}"/>
    <cellStyle name="SAPBEXfilterDrill 3 5" xfId="10317" xr:uid="{00000000-0005-0000-0000-0000EC280000}"/>
    <cellStyle name="SAPBEXfilterDrill 3 5 2" xfId="10318" xr:uid="{00000000-0005-0000-0000-0000ED280000}"/>
    <cellStyle name="SAPBEXfilterDrill 3 5 3" xfId="10319" xr:uid="{00000000-0005-0000-0000-0000EE280000}"/>
    <cellStyle name="SAPBEXfilterDrill 3 5 4" xfId="10320" xr:uid="{00000000-0005-0000-0000-0000EF280000}"/>
    <cellStyle name="SAPBEXfilterDrill 3 6" xfId="10321" xr:uid="{00000000-0005-0000-0000-0000F0280000}"/>
    <cellStyle name="SAPBEXfilterDrill 3 6 2" xfId="10322" xr:uid="{00000000-0005-0000-0000-0000F1280000}"/>
    <cellStyle name="SAPBEXfilterDrill 3 6 3" xfId="10323" xr:uid="{00000000-0005-0000-0000-0000F2280000}"/>
    <cellStyle name="SAPBEXfilterDrill 3 6 4" xfId="10324" xr:uid="{00000000-0005-0000-0000-0000F3280000}"/>
    <cellStyle name="SAPBEXfilterDrill 3 7" xfId="10325" xr:uid="{00000000-0005-0000-0000-0000F4280000}"/>
    <cellStyle name="SAPBEXfilterDrill 3 7 2" xfId="10326" xr:uid="{00000000-0005-0000-0000-0000F5280000}"/>
    <cellStyle name="SAPBEXfilterDrill 3 7 3" xfId="10327" xr:uid="{00000000-0005-0000-0000-0000F6280000}"/>
    <cellStyle name="SAPBEXfilterDrill 3 7 4" xfId="10328" xr:uid="{00000000-0005-0000-0000-0000F7280000}"/>
    <cellStyle name="SAPBEXfilterDrill 3 8" xfId="10329" xr:uid="{00000000-0005-0000-0000-0000F8280000}"/>
    <cellStyle name="SAPBEXfilterDrill 3 9" xfId="10330" xr:uid="{00000000-0005-0000-0000-0000F9280000}"/>
    <cellStyle name="SAPBEXfilterDrill 30" xfId="10331" xr:uid="{00000000-0005-0000-0000-0000FA280000}"/>
    <cellStyle name="SAPBEXfilterDrill 30 2" xfId="10332" xr:uid="{00000000-0005-0000-0000-0000FB280000}"/>
    <cellStyle name="SAPBEXfilterDrill 30 3" xfId="10333" xr:uid="{00000000-0005-0000-0000-0000FC280000}"/>
    <cellStyle name="SAPBEXfilterDrill 30 4" xfId="10334" xr:uid="{00000000-0005-0000-0000-0000FD280000}"/>
    <cellStyle name="SAPBEXfilterDrill 30 5" xfId="10335" xr:uid="{00000000-0005-0000-0000-0000FE280000}"/>
    <cellStyle name="SAPBEXfilterDrill 30 6" xfId="10336" xr:uid="{00000000-0005-0000-0000-0000FF280000}"/>
    <cellStyle name="SAPBEXfilterDrill 31" xfId="10337" xr:uid="{00000000-0005-0000-0000-000000290000}"/>
    <cellStyle name="SAPBEXfilterDrill 31 2" xfId="10338" xr:uid="{00000000-0005-0000-0000-000001290000}"/>
    <cellStyle name="SAPBEXfilterDrill 31 3" xfId="10339" xr:uid="{00000000-0005-0000-0000-000002290000}"/>
    <cellStyle name="SAPBEXfilterDrill 31 4" xfId="10340" xr:uid="{00000000-0005-0000-0000-000003290000}"/>
    <cellStyle name="SAPBEXfilterDrill 31 5" xfId="10341" xr:uid="{00000000-0005-0000-0000-000004290000}"/>
    <cellStyle name="SAPBEXfilterDrill 31 6" xfId="10342" xr:uid="{00000000-0005-0000-0000-000005290000}"/>
    <cellStyle name="SAPBEXfilterDrill 32" xfId="10343" xr:uid="{00000000-0005-0000-0000-000006290000}"/>
    <cellStyle name="SAPBEXfilterDrill 32 2" xfId="10344" xr:uid="{00000000-0005-0000-0000-000007290000}"/>
    <cellStyle name="SAPBEXfilterDrill 32 3" xfId="10345" xr:uid="{00000000-0005-0000-0000-000008290000}"/>
    <cellStyle name="SAPBEXfilterDrill 32 4" xfId="10346" xr:uid="{00000000-0005-0000-0000-000009290000}"/>
    <cellStyle name="SAPBEXfilterDrill 32 5" xfId="10347" xr:uid="{00000000-0005-0000-0000-00000A290000}"/>
    <cellStyle name="SAPBEXfilterDrill 32 6" xfId="10348" xr:uid="{00000000-0005-0000-0000-00000B290000}"/>
    <cellStyle name="SAPBEXfilterDrill 33" xfId="10349" xr:uid="{00000000-0005-0000-0000-00000C290000}"/>
    <cellStyle name="SAPBEXfilterDrill 34" xfId="10350" xr:uid="{00000000-0005-0000-0000-00000D290000}"/>
    <cellStyle name="SAPBEXfilterDrill 35" xfId="10351" xr:uid="{00000000-0005-0000-0000-00000E290000}"/>
    <cellStyle name="SAPBEXfilterDrill 36" xfId="27821" xr:uid="{00000000-0005-0000-0000-00000F290000}"/>
    <cellStyle name="SAPBEXfilterDrill 37" xfId="27916" xr:uid="{00000000-0005-0000-0000-000010290000}"/>
    <cellStyle name="SAPBEXfilterDrill 38" xfId="28016" xr:uid="{00000000-0005-0000-0000-000011290000}"/>
    <cellStyle name="SAPBEXfilterDrill 4" xfId="10352" xr:uid="{00000000-0005-0000-0000-000012290000}"/>
    <cellStyle name="SAPBEXfilterDrill 4 2" xfId="10353" xr:uid="{00000000-0005-0000-0000-000013290000}"/>
    <cellStyle name="SAPBEXfilterDrill 4 3" xfId="10354" xr:uid="{00000000-0005-0000-0000-000014290000}"/>
    <cellStyle name="SAPBEXfilterDrill 4 4" xfId="10355" xr:uid="{00000000-0005-0000-0000-000015290000}"/>
    <cellStyle name="SAPBEXfilterDrill 4 5" xfId="10356" xr:uid="{00000000-0005-0000-0000-000016290000}"/>
    <cellStyle name="SAPBEXfilterDrill 4 6" xfId="10357" xr:uid="{00000000-0005-0000-0000-000017290000}"/>
    <cellStyle name="SAPBEXfilterDrill 5" xfId="10358" xr:uid="{00000000-0005-0000-0000-000018290000}"/>
    <cellStyle name="SAPBEXfilterDrill 5 2" xfId="10359" xr:uid="{00000000-0005-0000-0000-000019290000}"/>
    <cellStyle name="SAPBEXfilterDrill 5 3" xfId="10360" xr:uid="{00000000-0005-0000-0000-00001A290000}"/>
    <cellStyle name="SAPBEXfilterDrill 5 4" xfId="10361" xr:uid="{00000000-0005-0000-0000-00001B290000}"/>
    <cellStyle name="SAPBEXfilterDrill 5 5" xfId="10362" xr:uid="{00000000-0005-0000-0000-00001C290000}"/>
    <cellStyle name="SAPBEXfilterDrill 5 6" xfId="10363" xr:uid="{00000000-0005-0000-0000-00001D290000}"/>
    <cellStyle name="SAPBEXfilterDrill 6" xfId="10364" xr:uid="{00000000-0005-0000-0000-00001E290000}"/>
    <cellStyle name="SAPBEXfilterDrill 6 10" xfId="10365" xr:uid="{00000000-0005-0000-0000-00001F290000}"/>
    <cellStyle name="SAPBEXfilterDrill 6 2" xfId="10366" xr:uid="{00000000-0005-0000-0000-000020290000}"/>
    <cellStyle name="SAPBEXfilterDrill 6 2 2" xfId="10367" xr:uid="{00000000-0005-0000-0000-000021290000}"/>
    <cellStyle name="SAPBEXfilterDrill 6 2 3" xfId="10368" xr:uid="{00000000-0005-0000-0000-000022290000}"/>
    <cellStyle name="SAPBEXfilterDrill 6 2 4" xfId="10369" xr:uid="{00000000-0005-0000-0000-000023290000}"/>
    <cellStyle name="SAPBEXfilterDrill 6 3" xfId="10370" xr:uid="{00000000-0005-0000-0000-000024290000}"/>
    <cellStyle name="SAPBEXfilterDrill 6 3 2" xfId="10371" xr:uid="{00000000-0005-0000-0000-000025290000}"/>
    <cellStyle name="SAPBEXfilterDrill 6 3 3" xfId="10372" xr:uid="{00000000-0005-0000-0000-000026290000}"/>
    <cellStyle name="SAPBEXfilterDrill 6 3 4" xfId="10373" xr:uid="{00000000-0005-0000-0000-000027290000}"/>
    <cellStyle name="SAPBEXfilterDrill 6 4" xfId="10374" xr:uid="{00000000-0005-0000-0000-000028290000}"/>
    <cellStyle name="SAPBEXfilterDrill 6 4 2" xfId="10375" xr:uid="{00000000-0005-0000-0000-000029290000}"/>
    <cellStyle name="SAPBEXfilterDrill 6 4 3" xfId="10376" xr:uid="{00000000-0005-0000-0000-00002A290000}"/>
    <cellStyle name="SAPBEXfilterDrill 6 4 4" xfId="10377" xr:uid="{00000000-0005-0000-0000-00002B290000}"/>
    <cellStyle name="SAPBEXfilterDrill 6 5" xfId="10378" xr:uid="{00000000-0005-0000-0000-00002C290000}"/>
    <cellStyle name="SAPBEXfilterDrill 6 5 2" xfId="10379" xr:uid="{00000000-0005-0000-0000-00002D290000}"/>
    <cellStyle name="SAPBEXfilterDrill 6 5 3" xfId="10380" xr:uid="{00000000-0005-0000-0000-00002E290000}"/>
    <cellStyle name="SAPBEXfilterDrill 6 5 4" xfId="10381" xr:uid="{00000000-0005-0000-0000-00002F290000}"/>
    <cellStyle name="SAPBEXfilterDrill 6 6" xfId="10382" xr:uid="{00000000-0005-0000-0000-000030290000}"/>
    <cellStyle name="SAPBEXfilterDrill 6 7" xfId="10383" xr:uid="{00000000-0005-0000-0000-000031290000}"/>
    <cellStyle name="SAPBEXfilterDrill 6 8" xfId="10384" xr:uid="{00000000-0005-0000-0000-000032290000}"/>
    <cellStyle name="SAPBEXfilterDrill 6 9" xfId="10385" xr:uid="{00000000-0005-0000-0000-000033290000}"/>
    <cellStyle name="SAPBEXfilterDrill 7" xfId="10386" xr:uid="{00000000-0005-0000-0000-000034290000}"/>
    <cellStyle name="SAPBEXfilterDrill 7 10" xfId="10387" xr:uid="{00000000-0005-0000-0000-000035290000}"/>
    <cellStyle name="SAPBEXfilterDrill 7 2" xfId="10388" xr:uid="{00000000-0005-0000-0000-000036290000}"/>
    <cellStyle name="SAPBEXfilterDrill 7 2 2" xfId="10389" xr:uid="{00000000-0005-0000-0000-000037290000}"/>
    <cellStyle name="SAPBEXfilterDrill 7 2 3" xfId="10390" xr:uid="{00000000-0005-0000-0000-000038290000}"/>
    <cellStyle name="SAPBEXfilterDrill 7 2 4" xfId="10391" xr:uid="{00000000-0005-0000-0000-000039290000}"/>
    <cellStyle name="SAPBEXfilterDrill 7 3" xfId="10392" xr:uid="{00000000-0005-0000-0000-00003A290000}"/>
    <cellStyle name="SAPBEXfilterDrill 7 3 2" xfId="10393" xr:uid="{00000000-0005-0000-0000-00003B290000}"/>
    <cellStyle name="SAPBEXfilterDrill 7 3 3" xfId="10394" xr:uid="{00000000-0005-0000-0000-00003C290000}"/>
    <cellStyle name="SAPBEXfilterDrill 7 3 4" xfId="10395" xr:uid="{00000000-0005-0000-0000-00003D290000}"/>
    <cellStyle name="SAPBEXfilterDrill 7 4" xfId="10396" xr:uid="{00000000-0005-0000-0000-00003E290000}"/>
    <cellStyle name="SAPBEXfilterDrill 7 4 2" xfId="10397" xr:uid="{00000000-0005-0000-0000-00003F290000}"/>
    <cellStyle name="SAPBEXfilterDrill 7 4 3" xfId="10398" xr:uid="{00000000-0005-0000-0000-000040290000}"/>
    <cellStyle name="SAPBEXfilterDrill 7 4 4" xfId="10399" xr:uid="{00000000-0005-0000-0000-000041290000}"/>
    <cellStyle name="SAPBEXfilterDrill 7 5" xfId="10400" xr:uid="{00000000-0005-0000-0000-000042290000}"/>
    <cellStyle name="SAPBEXfilterDrill 7 5 2" xfId="10401" xr:uid="{00000000-0005-0000-0000-000043290000}"/>
    <cellStyle name="SAPBEXfilterDrill 7 5 3" xfId="10402" xr:uid="{00000000-0005-0000-0000-000044290000}"/>
    <cellStyle name="SAPBEXfilterDrill 7 5 4" xfId="10403" xr:uid="{00000000-0005-0000-0000-000045290000}"/>
    <cellStyle name="SAPBEXfilterDrill 7 6" xfId="10404" xr:uid="{00000000-0005-0000-0000-000046290000}"/>
    <cellStyle name="SAPBEXfilterDrill 7 7" xfId="10405" xr:uid="{00000000-0005-0000-0000-000047290000}"/>
    <cellStyle name="SAPBEXfilterDrill 7 8" xfId="10406" xr:uid="{00000000-0005-0000-0000-000048290000}"/>
    <cellStyle name="SAPBEXfilterDrill 7 9" xfId="10407" xr:uid="{00000000-0005-0000-0000-000049290000}"/>
    <cellStyle name="SAPBEXfilterDrill 8" xfId="10408" xr:uid="{00000000-0005-0000-0000-00004A290000}"/>
    <cellStyle name="SAPBEXfilterDrill 8 2" xfId="10409" xr:uid="{00000000-0005-0000-0000-00004B290000}"/>
    <cellStyle name="SAPBEXfilterDrill 8 3" xfId="10410" xr:uid="{00000000-0005-0000-0000-00004C290000}"/>
    <cellStyle name="SAPBEXfilterDrill 8 4" xfId="10411" xr:uid="{00000000-0005-0000-0000-00004D290000}"/>
    <cellStyle name="SAPBEXfilterDrill 8 5" xfId="10412" xr:uid="{00000000-0005-0000-0000-00004E290000}"/>
    <cellStyle name="SAPBEXfilterDrill 8 6" xfId="10413" xr:uid="{00000000-0005-0000-0000-00004F290000}"/>
    <cellStyle name="SAPBEXfilterDrill 9" xfId="10414" xr:uid="{00000000-0005-0000-0000-000050290000}"/>
    <cellStyle name="SAPBEXfilterDrill 9 2" xfId="10415" xr:uid="{00000000-0005-0000-0000-000051290000}"/>
    <cellStyle name="SAPBEXfilterDrill 9 3" xfId="10416" xr:uid="{00000000-0005-0000-0000-000052290000}"/>
    <cellStyle name="SAPBEXfilterDrill 9 4" xfId="10417" xr:uid="{00000000-0005-0000-0000-000053290000}"/>
    <cellStyle name="SAPBEXfilterDrill 9 5" xfId="10418" xr:uid="{00000000-0005-0000-0000-000054290000}"/>
    <cellStyle name="SAPBEXfilterDrill 9 6" xfId="10419" xr:uid="{00000000-0005-0000-0000-000055290000}"/>
    <cellStyle name="SAPBEXfilterDrill_Receipts" xfId="10420" xr:uid="{00000000-0005-0000-0000-000056290000}"/>
    <cellStyle name="SAPBEXfilterItem" xfId="10421" xr:uid="{00000000-0005-0000-0000-000057290000}"/>
    <cellStyle name="SAPBEXfilterItem 10" xfId="10422" xr:uid="{00000000-0005-0000-0000-000058290000}"/>
    <cellStyle name="SAPBEXfilterItem 10 2" xfId="10423" xr:uid="{00000000-0005-0000-0000-000059290000}"/>
    <cellStyle name="SAPBEXfilterItem 10 3" xfId="10424" xr:uid="{00000000-0005-0000-0000-00005A290000}"/>
    <cellStyle name="SAPBEXfilterItem 10 4" xfId="10425" xr:uid="{00000000-0005-0000-0000-00005B290000}"/>
    <cellStyle name="SAPBEXfilterItem 10 5" xfId="10426" xr:uid="{00000000-0005-0000-0000-00005C290000}"/>
    <cellStyle name="SAPBEXfilterItem 10 6" xfId="10427" xr:uid="{00000000-0005-0000-0000-00005D290000}"/>
    <cellStyle name="SAPBEXfilterItem 100" xfId="10428" xr:uid="{00000000-0005-0000-0000-00005E290000}"/>
    <cellStyle name="SAPBEXfilterItem 101" xfId="10429" xr:uid="{00000000-0005-0000-0000-00005F290000}"/>
    <cellStyle name="SAPBEXfilterItem 102" xfId="10430" xr:uid="{00000000-0005-0000-0000-000060290000}"/>
    <cellStyle name="SAPBEXfilterItem 103" xfId="10431" xr:uid="{00000000-0005-0000-0000-000061290000}"/>
    <cellStyle name="SAPBEXfilterItem 104" xfId="10432" xr:uid="{00000000-0005-0000-0000-000062290000}"/>
    <cellStyle name="SAPBEXfilterItem 105" xfId="10433" xr:uid="{00000000-0005-0000-0000-000063290000}"/>
    <cellStyle name="SAPBEXfilterItem 106" xfId="10434" xr:uid="{00000000-0005-0000-0000-000064290000}"/>
    <cellStyle name="SAPBEXfilterItem 107" xfId="10435" xr:uid="{00000000-0005-0000-0000-000065290000}"/>
    <cellStyle name="SAPBEXfilterItem 108" xfId="10436" xr:uid="{00000000-0005-0000-0000-000066290000}"/>
    <cellStyle name="SAPBEXfilterItem 109" xfId="10437" xr:uid="{00000000-0005-0000-0000-000067290000}"/>
    <cellStyle name="SAPBEXfilterItem 11" xfId="10438" xr:uid="{00000000-0005-0000-0000-000068290000}"/>
    <cellStyle name="SAPBEXfilterItem 11 2" xfId="10439" xr:uid="{00000000-0005-0000-0000-000069290000}"/>
    <cellStyle name="SAPBEXfilterItem 11 3" xfId="10440" xr:uid="{00000000-0005-0000-0000-00006A290000}"/>
    <cellStyle name="SAPBEXfilterItem 11 4" xfId="10441" xr:uid="{00000000-0005-0000-0000-00006B290000}"/>
    <cellStyle name="SAPBEXfilterItem 11 5" xfId="10442" xr:uid="{00000000-0005-0000-0000-00006C290000}"/>
    <cellStyle name="SAPBEXfilterItem 11 6" xfId="10443" xr:uid="{00000000-0005-0000-0000-00006D290000}"/>
    <cellStyle name="SAPBEXfilterItem 110" xfId="10444" xr:uid="{00000000-0005-0000-0000-00006E290000}"/>
    <cellStyle name="SAPBEXfilterItem 111" xfId="10445" xr:uid="{00000000-0005-0000-0000-00006F290000}"/>
    <cellStyle name="SAPBEXfilterItem 112" xfId="10446" xr:uid="{00000000-0005-0000-0000-000070290000}"/>
    <cellStyle name="SAPBEXfilterItem 113" xfId="10447" xr:uid="{00000000-0005-0000-0000-000071290000}"/>
    <cellStyle name="SAPBEXfilterItem 114" xfId="10448" xr:uid="{00000000-0005-0000-0000-000072290000}"/>
    <cellStyle name="SAPBEXfilterItem 115" xfId="10449" xr:uid="{00000000-0005-0000-0000-000073290000}"/>
    <cellStyle name="SAPBEXfilterItem 116" xfId="10450" xr:uid="{00000000-0005-0000-0000-000074290000}"/>
    <cellStyle name="SAPBEXfilterItem 117" xfId="10451" xr:uid="{00000000-0005-0000-0000-000075290000}"/>
    <cellStyle name="SAPBEXfilterItem 118" xfId="10452" xr:uid="{00000000-0005-0000-0000-000076290000}"/>
    <cellStyle name="SAPBEXfilterItem 119" xfId="10453" xr:uid="{00000000-0005-0000-0000-000077290000}"/>
    <cellStyle name="SAPBEXfilterItem 12" xfId="10454" xr:uid="{00000000-0005-0000-0000-000078290000}"/>
    <cellStyle name="SAPBEXfilterItem 12 2" xfId="10455" xr:uid="{00000000-0005-0000-0000-000079290000}"/>
    <cellStyle name="SAPBEXfilterItem 12 3" xfId="10456" xr:uid="{00000000-0005-0000-0000-00007A290000}"/>
    <cellStyle name="SAPBEXfilterItem 12 4" xfId="10457" xr:uid="{00000000-0005-0000-0000-00007B290000}"/>
    <cellStyle name="SAPBEXfilterItem 12 5" xfId="10458" xr:uid="{00000000-0005-0000-0000-00007C290000}"/>
    <cellStyle name="SAPBEXfilterItem 12 6" xfId="10459" xr:uid="{00000000-0005-0000-0000-00007D290000}"/>
    <cellStyle name="SAPBEXfilterItem 120" xfId="10460" xr:uid="{00000000-0005-0000-0000-00007E290000}"/>
    <cellStyle name="SAPBEXfilterItem 121" xfId="10461" xr:uid="{00000000-0005-0000-0000-00007F290000}"/>
    <cellStyle name="SAPBEXfilterItem 122" xfId="10462" xr:uid="{00000000-0005-0000-0000-000080290000}"/>
    <cellStyle name="SAPBEXfilterItem 123" xfId="10463" xr:uid="{00000000-0005-0000-0000-000081290000}"/>
    <cellStyle name="SAPBEXfilterItem 124" xfId="10464" xr:uid="{00000000-0005-0000-0000-000082290000}"/>
    <cellStyle name="SAPBEXfilterItem 125" xfId="10465" xr:uid="{00000000-0005-0000-0000-000083290000}"/>
    <cellStyle name="SAPBEXfilterItem 126" xfId="10466" xr:uid="{00000000-0005-0000-0000-000084290000}"/>
    <cellStyle name="SAPBEXfilterItem 127" xfId="10467" xr:uid="{00000000-0005-0000-0000-000085290000}"/>
    <cellStyle name="SAPBEXfilterItem 128" xfId="10468" xr:uid="{00000000-0005-0000-0000-000086290000}"/>
    <cellStyle name="SAPBEXfilterItem 129" xfId="10469" xr:uid="{00000000-0005-0000-0000-000087290000}"/>
    <cellStyle name="SAPBEXfilterItem 13" xfId="10470" xr:uid="{00000000-0005-0000-0000-000088290000}"/>
    <cellStyle name="SAPBEXfilterItem 13 2" xfId="10471" xr:uid="{00000000-0005-0000-0000-000089290000}"/>
    <cellStyle name="SAPBEXfilterItem 13 3" xfId="10472" xr:uid="{00000000-0005-0000-0000-00008A290000}"/>
    <cellStyle name="SAPBEXfilterItem 13 4" xfId="10473" xr:uid="{00000000-0005-0000-0000-00008B290000}"/>
    <cellStyle name="SAPBEXfilterItem 13 5" xfId="10474" xr:uid="{00000000-0005-0000-0000-00008C290000}"/>
    <cellStyle name="SAPBEXfilterItem 13 6" xfId="10475" xr:uid="{00000000-0005-0000-0000-00008D290000}"/>
    <cellStyle name="SAPBEXfilterItem 130" xfId="10476" xr:uid="{00000000-0005-0000-0000-00008E290000}"/>
    <cellStyle name="SAPBEXfilterItem 131" xfId="10477" xr:uid="{00000000-0005-0000-0000-00008F290000}"/>
    <cellStyle name="SAPBEXfilterItem 132" xfId="10478" xr:uid="{00000000-0005-0000-0000-000090290000}"/>
    <cellStyle name="SAPBEXfilterItem 133" xfId="10479" xr:uid="{00000000-0005-0000-0000-000091290000}"/>
    <cellStyle name="SAPBEXfilterItem 134" xfId="10480" xr:uid="{00000000-0005-0000-0000-000092290000}"/>
    <cellStyle name="SAPBEXfilterItem 135" xfId="10481" xr:uid="{00000000-0005-0000-0000-000093290000}"/>
    <cellStyle name="SAPBEXfilterItem 136" xfId="10482" xr:uid="{00000000-0005-0000-0000-000094290000}"/>
    <cellStyle name="SAPBEXfilterItem 137" xfId="10483" xr:uid="{00000000-0005-0000-0000-000095290000}"/>
    <cellStyle name="SAPBEXfilterItem 138" xfId="10484" xr:uid="{00000000-0005-0000-0000-000096290000}"/>
    <cellStyle name="SAPBEXfilterItem 139" xfId="10485" xr:uid="{00000000-0005-0000-0000-000097290000}"/>
    <cellStyle name="SAPBEXfilterItem 14" xfId="10486" xr:uid="{00000000-0005-0000-0000-000098290000}"/>
    <cellStyle name="SAPBEXfilterItem 14 2" xfId="10487" xr:uid="{00000000-0005-0000-0000-000099290000}"/>
    <cellStyle name="SAPBEXfilterItem 14 3" xfId="10488" xr:uid="{00000000-0005-0000-0000-00009A290000}"/>
    <cellStyle name="SAPBEXfilterItem 14 4" xfId="10489" xr:uid="{00000000-0005-0000-0000-00009B290000}"/>
    <cellStyle name="SAPBEXfilterItem 14 5" xfId="10490" xr:uid="{00000000-0005-0000-0000-00009C290000}"/>
    <cellStyle name="SAPBEXfilterItem 14 6" xfId="10491" xr:uid="{00000000-0005-0000-0000-00009D290000}"/>
    <cellStyle name="SAPBEXfilterItem 140" xfId="10492" xr:uid="{00000000-0005-0000-0000-00009E290000}"/>
    <cellStyle name="SAPBEXfilterItem 141" xfId="10493" xr:uid="{00000000-0005-0000-0000-00009F290000}"/>
    <cellStyle name="SAPBEXfilterItem 142" xfId="10494" xr:uid="{00000000-0005-0000-0000-0000A0290000}"/>
    <cellStyle name="SAPBEXfilterItem 143" xfId="10495" xr:uid="{00000000-0005-0000-0000-0000A1290000}"/>
    <cellStyle name="SAPBEXfilterItem 144" xfId="10496" xr:uid="{00000000-0005-0000-0000-0000A2290000}"/>
    <cellStyle name="SAPBEXfilterItem 145" xfId="10497" xr:uid="{00000000-0005-0000-0000-0000A3290000}"/>
    <cellStyle name="SAPBEXfilterItem 146" xfId="10498" xr:uid="{00000000-0005-0000-0000-0000A4290000}"/>
    <cellStyle name="SAPBEXfilterItem 147" xfId="10499" xr:uid="{00000000-0005-0000-0000-0000A5290000}"/>
    <cellStyle name="SAPBEXfilterItem 148" xfId="10500" xr:uid="{00000000-0005-0000-0000-0000A6290000}"/>
    <cellStyle name="SAPBEXfilterItem 149" xfId="10501" xr:uid="{00000000-0005-0000-0000-0000A7290000}"/>
    <cellStyle name="SAPBEXfilterItem 15" xfId="10502" xr:uid="{00000000-0005-0000-0000-0000A8290000}"/>
    <cellStyle name="SAPBEXfilterItem 15 2" xfId="10503" xr:uid="{00000000-0005-0000-0000-0000A9290000}"/>
    <cellStyle name="SAPBEXfilterItem 15 3" xfId="10504" xr:uid="{00000000-0005-0000-0000-0000AA290000}"/>
    <cellStyle name="SAPBEXfilterItem 15 4" xfId="10505" xr:uid="{00000000-0005-0000-0000-0000AB290000}"/>
    <cellStyle name="SAPBEXfilterItem 15 5" xfId="10506" xr:uid="{00000000-0005-0000-0000-0000AC290000}"/>
    <cellStyle name="SAPBEXfilterItem 15 6" xfId="10507" xr:uid="{00000000-0005-0000-0000-0000AD290000}"/>
    <cellStyle name="SAPBEXfilterItem 150" xfId="10508" xr:uid="{00000000-0005-0000-0000-0000AE290000}"/>
    <cellStyle name="SAPBEXfilterItem 151" xfId="10509" xr:uid="{00000000-0005-0000-0000-0000AF290000}"/>
    <cellStyle name="SAPBEXfilterItem 152" xfId="10510" xr:uid="{00000000-0005-0000-0000-0000B0290000}"/>
    <cellStyle name="SAPBEXfilterItem 153" xfId="10511" xr:uid="{00000000-0005-0000-0000-0000B1290000}"/>
    <cellStyle name="SAPBEXfilterItem 154" xfId="10512" xr:uid="{00000000-0005-0000-0000-0000B2290000}"/>
    <cellStyle name="SAPBEXfilterItem 155" xfId="10513" xr:uid="{00000000-0005-0000-0000-0000B3290000}"/>
    <cellStyle name="SAPBEXfilterItem 156" xfId="10514" xr:uid="{00000000-0005-0000-0000-0000B4290000}"/>
    <cellStyle name="SAPBEXfilterItem 157" xfId="10515" xr:uid="{00000000-0005-0000-0000-0000B5290000}"/>
    <cellStyle name="SAPBEXfilterItem 158" xfId="10516" xr:uid="{00000000-0005-0000-0000-0000B6290000}"/>
    <cellStyle name="SAPBEXfilterItem 159" xfId="10517" xr:uid="{00000000-0005-0000-0000-0000B7290000}"/>
    <cellStyle name="SAPBEXfilterItem 16" xfId="10518" xr:uid="{00000000-0005-0000-0000-0000B8290000}"/>
    <cellStyle name="SAPBEXfilterItem 16 2" xfId="10519" xr:uid="{00000000-0005-0000-0000-0000B9290000}"/>
    <cellStyle name="SAPBEXfilterItem 16 3" xfId="10520" xr:uid="{00000000-0005-0000-0000-0000BA290000}"/>
    <cellStyle name="SAPBEXfilterItem 16 4" xfId="10521" xr:uid="{00000000-0005-0000-0000-0000BB290000}"/>
    <cellStyle name="SAPBEXfilterItem 16 5" xfId="10522" xr:uid="{00000000-0005-0000-0000-0000BC290000}"/>
    <cellStyle name="SAPBEXfilterItem 16 6" xfId="10523" xr:uid="{00000000-0005-0000-0000-0000BD290000}"/>
    <cellStyle name="SAPBEXfilterItem 160" xfId="10524" xr:uid="{00000000-0005-0000-0000-0000BE290000}"/>
    <cellStyle name="SAPBEXfilterItem 161" xfId="10525" xr:uid="{00000000-0005-0000-0000-0000BF290000}"/>
    <cellStyle name="SAPBEXfilterItem 162" xfId="10526" xr:uid="{00000000-0005-0000-0000-0000C0290000}"/>
    <cellStyle name="SAPBEXfilterItem 163" xfId="10527" xr:uid="{00000000-0005-0000-0000-0000C1290000}"/>
    <cellStyle name="SAPBEXfilterItem 164" xfId="10528" xr:uid="{00000000-0005-0000-0000-0000C2290000}"/>
    <cellStyle name="SAPBEXfilterItem 165" xfId="10529" xr:uid="{00000000-0005-0000-0000-0000C3290000}"/>
    <cellStyle name="SAPBEXfilterItem 166" xfId="10530" xr:uid="{00000000-0005-0000-0000-0000C4290000}"/>
    <cellStyle name="SAPBEXfilterItem 167" xfId="10531" xr:uid="{00000000-0005-0000-0000-0000C5290000}"/>
    <cellStyle name="SAPBEXfilterItem 168" xfId="10532" xr:uid="{00000000-0005-0000-0000-0000C6290000}"/>
    <cellStyle name="SAPBEXfilterItem 169" xfId="10533" xr:uid="{00000000-0005-0000-0000-0000C7290000}"/>
    <cellStyle name="SAPBEXfilterItem 17" xfId="10534" xr:uid="{00000000-0005-0000-0000-0000C8290000}"/>
    <cellStyle name="SAPBEXfilterItem 17 2" xfId="10535" xr:uid="{00000000-0005-0000-0000-0000C9290000}"/>
    <cellStyle name="SAPBEXfilterItem 17 3" xfId="10536" xr:uid="{00000000-0005-0000-0000-0000CA290000}"/>
    <cellStyle name="SAPBEXfilterItem 17 4" xfId="10537" xr:uid="{00000000-0005-0000-0000-0000CB290000}"/>
    <cellStyle name="SAPBEXfilterItem 17 5" xfId="10538" xr:uid="{00000000-0005-0000-0000-0000CC290000}"/>
    <cellStyle name="SAPBEXfilterItem 17 6" xfId="10539" xr:uid="{00000000-0005-0000-0000-0000CD290000}"/>
    <cellStyle name="SAPBEXfilterItem 170" xfId="10540" xr:uid="{00000000-0005-0000-0000-0000CE290000}"/>
    <cellStyle name="SAPBEXfilterItem 171" xfId="10541" xr:uid="{00000000-0005-0000-0000-0000CF290000}"/>
    <cellStyle name="SAPBEXfilterItem 172" xfId="27820" xr:uid="{00000000-0005-0000-0000-0000D0290000}"/>
    <cellStyle name="SAPBEXfilterItem 173" xfId="27917" xr:uid="{00000000-0005-0000-0000-0000D1290000}"/>
    <cellStyle name="SAPBEXfilterItem 174" xfId="28017" xr:uid="{00000000-0005-0000-0000-0000D2290000}"/>
    <cellStyle name="SAPBEXfilterItem 18" xfId="10542" xr:uid="{00000000-0005-0000-0000-0000D3290000}"/>
    <cellStyle name="SAPBEXfilterItem 18 2" xfId="10543" xr:uid="{00000000-0005-0000-0000-0000D4290000}"/>
    <cellStyle name="SAPBEXfilterItem 18 3" xfId="10544" xr:uid="{00000000-0005-0000-0000-0000D5290000}"/>
    <cellStyle name="SAPBEXfilterItem 18 4" xfId="10545" xr:uid="{00000000-0005-0000-0000-0000D6290000}"/>
    <cellStyle name="SAPBEXfilterItem 18 5" xfId="10546" xr:uid="{00000000-0005-0000-0000-0000D7290000}"/>
    <cellStyle name="SAPBEXfilterItem 18 6" xfId="10547" xr:uid="{00000000-0005-0000-0000-0000D8290000}"/>
    <cellStyle name="SAPBEXfilterItem 19" xfId="10548" xr:uid="{00000000-0005-0000-0000-0000D9290000}"/>
    <cellStyle name="SAPBEXfilterItem 19 2" xfId="10549" xr:uid="{00000000-0005-0000-0000-0000DA290000}"/>
    <cellStyle name="SAPBEXfilterItem 19 3" xfId="10550" xr:uid="{00000000-0005-0000-0000-0000DB290000}"/>
    <cellStyle name="SAPBEXfilterItem 19 4" xfId="10551" xr:uid="{00000000-0005-0000-0000-0000DC290000}"/>
    <cellStyle name="SAPBEXfilterItem 19 5" xfId="10552" xr:uid="{00000000-0005-0000-0000-0000DD290000}"/>
    <cellStyle name="SAPBEXfilterItem 19 6" xfId="10553" xr:uid="{00000000-0005-0000-0000-0000DE290000}"/>
    <cellStyle name="SAPBEXfilterItem 2" xfId="10554" xr:uid="{00000000-0005-0000-0000-0000DF290000}"/>
    <cellStyle name="SAPBEXfilterItem 2 10" xfId="10555" xr:uid="{00000000-0005-0000-0000-0000E0290000}"/>
    <cellStyle name="SAPBEXfilterItem 2 11" xfId="10556" xr:uid="{00000000-0005-0000-0000-0000E1290000}"/>
    <cellStyle name="SAPBEXfilterItem 2 12" xfId="10557" xr:uid="{00000000-0005-0000-0000-0000E2290000}"/>
    <cellStyle name="SAPBEXfilterItem 2 13" xfId="10558" xr:uid="{00000000-0005-0000-0000-0000E3290000}"/>
    <cellStyle name="SAPBEXfilterItem 2 14" xfId="10559" xr:uid="{00000000-0005-0000-0000-0000E4290000}"/>
    <cellStyle name="SAPBEXfilterItem 2 15" xfId="10560" xr:uid="{00000000-0005-0000-0000-0000E5290000}"/>
    <cellStyle name="SAPBEXfilterItem 2 16" xfId="10561" xr:uid="{00000000-0005-0000-0000-0000E6290000}"/>
    <cellStyle name="SAPBEXfilterItem 2 17" xfId="10562" xr:uid="{00000000-0005-0000-0000-0000E7290000}"/>
    <cellStyle name="SAPBEXfilterItem 2 18" xfId="10563" xr:uid="{00000000-0005-0000-0000-0000E8290000}"/>
    <cellStyle name="SAPBEXfilterItem 2 2" xfId="10564" xr:uid="{00000000-0005-0000-0000-0000E9290000}"/>
    <cellStyle name="SAPBEXfilterItem 2 2 2" xfId="10565" xr:uid="{00000000-0005-0000-0000-0000EA290000}"/>
    <cellStyle name="SAPBEXfilterItem 2 2 2 2" xfId="10566" xr:uid="{00000000-0005-0000-0000-0000EB290000}"/>
    <cellStyle name="SAPBEXfilterItem 2 2 2 3" xfId="10567" xr:uid="{00000000-0005-0000-0000-0000EC290000}"/>
    <cellStyle name="SAPBEXfilterItem 2 2 2 4" xfId="10568" xr:uid="{00000000-0005-0000-0000-0000ED290000}"/>
    <cellStyle name="SAPBEXfilterItem 2 2 2 5" xfId="10569" xr:uid="{00000000-0005-0000-0000-0000EE290000}"/>
    <cellStyle name="SAPBEXfilterItem 2 2 2 6" xfId="10570" xr:uid="{00000000-0005-0000-0000-0000EF290000}"/>
    <cellStyle name="SAPBEXfilterItem 2 2 3" xfId="10571" xr:uid="{00000000-0005-0000-0000-0000F0290000}"/>
    <cellStyle name="SAPBEXfilterItem 2 2 3 2" xfId="10572" xr:uid="{00000000-0005-0000-0000-0000F1290000}"/>
    <cellStyle name="SAPBEXfilterItem 2 2 3 3" xfId="10573" xr:uid="{00000000-0005-0000-0000-0000F2290000}"/>
    <cellStyle name="SAPBEXfilterItem 2 2 3 4" xfId="10574" xr:uid="{00000000-0005-0000-0000-0000F3290000}"/>
    <cellStyle name="SAPBEXfilterItem 2 2 3 5" xfId="10575" xr:uid="{00000000-0005-0000-0000-0000F4290000}"/>
    <cellStyle name="SAPBEXfilterItem 2 2 3 6" xfId="10576" xr:uid="{00000000-0005-0000-0000-0000F5290000}"/>
    <cellStyle name="SAPBEXfilterItem 2 2 4" xfId="10577" xr:uid="{00000000-0005-0000-0000-0000F6290000}"/>
    <cellStyle name="SAPBEXfilterItem 2 2 4 2" xfId="10578" xr:uid="{00000000-0005-0000-0000-0000F7290000}"/>
    <cellStyle name="SAPBEXfilterItem 2 2 4 3" xfId="10579" xr:uid="{00000000-0005-0000-0000-0000F8290000}"/>
    <cellStyle name="SAPBEXfilterItem 2 2 4 4" xfId="10580" xr:uid="{00000000-0005-0000-0000-0000F9290000}"/>
    <cellStyle name="SAPBEXfilterItem 2 2 4 5" xfId="10581" xr:uid="{00000000-0005-0000-0000-0000FA290000}"/>
    <cellStyle name="SAPBEXfilterItem 2 2 4 6" xfId="10582" xr:uid="{00000000-0005-0000-0000-0000FB290000}"/>
    <cellStyle name="SAPBEXfilterItem 2 2 5" xfId="10583" xr:uid="{00000000-0005-0000-0000-0000FC290000}"/>
    <cellStyle name="SAPBEXfilterItem 2 2 5 2" xfId="10584" xr:uid="{00000000-0005-0000-0000-0000FD290000}"/>
    <cellStyle name="SAPBEXfilterItem 2 2 5 3" xfId="10585" xr:uid="{00000000-0005-0000-0000-0000FE290000}"/>
    <cellStyle name="SAPBEXfilterItem 2 2 5 4" xfId="10586" xr:uid="{00000000-0005-0000-0000-0000FF290000}"/>
    <cellStyle name="SAPBEXfilterItem 2 2 5 5" xfId="10587" xr:uid="{00000000-0005-0000-0000-0000002A0000}"/>
    <cellStyle name="SAPBEXfilterItem 2 2 5 6" xfId="10588" xr:uid="{00000000-0005-0000-0000-0000012A0000}"/>
    <cellStyle name="SAPBEXfilterItem 2 3" xfId="10589" xr:uid="{00000000-0005-0000-0000-0000022A0000}"/>
    <cellStyle name="SAPBEXfilterItem 2 3 2" xfId="10590" xr:uid="{00000000-0005-0000-0000-0000032A0000}"/>
    <cellStyle name="SAPBEXfilterItem 2 3 2 2" xfId="10591" xr:uid="{00000000-0005-0000-0000-0000042A0000}"/>
    <cellStyle name="SAPBEXfilterItem 2 3 2 3" xfId="10592" xr:uid="{00000000-0005-0000-0000-0000052A0000}"/>
    <cellStyle name="SAPBEXfilterItem 2 3 2 4" xfId="10593" xr:uid="{00000000-0005-0000-0000-0000062A0000}"/>
    <cellStyle name="SAPBEXfilterItem 2 3 2 5" xfId="10594" xr:uid="{00000000-0005-0000-0000-0000072A0000}"/>
    <cellStyle name="SAPBEXfilterItem 2 3 2 6" xfId="10595" xr:uid="{00000000-0005-0000-0000-0000082A0000}"/>
    <cellStyle name="SAPBEXfilterItem 2 3 3" xfId="10596" xr:uid="{00000000-0005-0000-0000-0000092A0000}"/>
    <cellStyle name="SAPBEXfilterItem 2 3 3 2" xfId="10597" xr:uid="{00000000-0005-0000-0000-00000A2A0000}"/>
    <cellStyle name="SAPBEXfilterItem 2 3 3 3" xfId="10598" xr:uid="{00000000-0005-0000-0000-00000B2A0000}"/>
    <cellStyle name="SAPBEXfilterItem 2 3 3 4" xfId="10599" xr:uid="{00000000-0005-0000-0000-00000C2A0000}"/>
    <cellStyle name="SAPBEXfilterItem 2 3 3 5" xfId="10600" xr:uid="{00000000-0005-0000-0000-00000D2A0000}"/>
    <cellStyle name="SAPBEXfilterItem 2 3 3 6" xfId="10601" xr:uid="{00000000-0005-0000-0000-00000E2A0000}"/>
    <cellStyle name="SAPBEXfilterItem 2 3 4" xfId="10602" xr:uid="{00000000-0005-0000-0000-00000F2A0000}"/>
    <cellStyle name="SAPBEXfilterItem 2 3 4 2" xfId="10603" xr:uid="{00000000-0005-0000-0000-0000102A0000}"/>
    <cellStyle name="SAPBEXfilterItem 2 3 4 3" xfId="10604" xr:uid="{00000000-0005-0000-0000-0000112A0000}"/>
    <cellStyle name="SAPBEXfilterItem 2 3 4 4" xfId="10605" xr:uid="{00000000-0005-0000-0000-0000122A0000}"/>
    <cellStyle name="SAPBEXfilterItem 2 3 4 5" xfId="10606" xr:uid="{00000000-0005-0000-0000-0000132A0000}"/>
    <cellStyle name="SAPBEXfilterItem 2 3 4 6" xfId="10607" xr:uid="{00000000-0005-0000-0000-0000142A0000}"/>
    <cellStyle name="SAPBEXfilterItem 2 3 5" xfId="10608" xr:uid="{00000000-0005-0000-0000-0000152A0000}"/>
    <cellStyle name="SAPBEXfilterItem 2 3 5 2" xfId="10609" xr:uid="{00000000-0005-0000-0000-0000162A0000}"/>
    <cellStyle name="SAPBEXfilterItem 2 3 5 3" xfId="10610" xr:uid="{00000000-0005-0000-0000-0000172A0000}"/>
    <cellStyle name="SAPBEXfilterItem 2 3 5 4" xfId="10611" xr:uid="{00000000-0005-0000-0000-0000182A0000}"/>
    <cellStyle name="SAPBEXfilterItem 2 3 5 5" xfId="10612" xr:uid="{00000000-0005-0000-0000-0000192A0000}"/>
    <cellStyle name="SAPBEXfilterItem 2 3 5 6" xfId="10613" xr:uid="{00000000-0005-0000-0000-00001A2A0000}"/>
    <cellStyle name="SAPBEXfilterItem 2 4" xfId="10614" xr:uid="{00000000-0005-0000-0000-00001B2A0000}"/>
    <cellStyle name="SAPBEXfilterItem 2 4 2" xfId="10615" xr:uid="{00000000-0005-0000-0000-00001C2A0000}"/>
    <cellStyle name="SAPBEXfilterItem 2 4 2 2" xfId="10616" xr:uid="{00000000-0005-0000-0000-00001D2A0000}"/>
    <cellStyle name="SAPBEXfilterItem 2 4 2 3" xfId="10617" xr:uid="{00000000-0005-0000-0000-00001E2A0000}"/>
    <cellStyle name="SAPBEXfilterItem 2 4 2 4" xfId="10618" xr:uid="{00000000-0005-0000-0000-00001F2A0000}"/>
    <cellStyle name="SAPBEXfilterItem 2 4 2 5" xfId="10619" xr:uid="{00000000-0005-0000-0000-0000202A0000}"/>
    <cellStyle name="SAPBEXfilterItem 2 4 2 6" xfId="10620" xr:uid="{00000000-0005-0000-0000-0000212A0000}"/>
    <cellStyle name="SAPBEXfilterItem 2 4 3" xfId="10621" xr:uid="{00000000-0005-0000-0000-0000222A0000}"/>
    <cellStyle name="SAPBEXfilterItem 2 4 3 2" xfId="10622" xr:uid="{00000000-0005-0000-0000-0000232A0000}"/>
    <cellStyle name="SAPBEXfilterItem 2 4 3 3" xfId="10623" xr:uid="{00000000-0005-0000-0000-0000242A0000}"/>
    <cellStyle name="SAPBEXfilterItem 2 4 3 4" xfId="10624" xr:uid="{00000000-0005-0000-0000-0000252A0000}"/>
    <cellStyle name="SAPBEXfilterItem 2 4 3 5" xfId="10625" xr:uid="{00000000-0005-0000-0000-0000262A0000}"/>
    <cellStyle name="SAPBEXfilterItem 2 4 3 6" xfId="10626" xr:uid="{00000000-0005-0000-0000-0000272A0000}"/>
    <cellStyle name="SAPBEXfilterItem 2 4 4" xfId="10627" xr:uid="{00000000-0005-0000-0000-0000282A0000}"/>
    <cellStyle name="SAPBEXfilterItem 2 4 4 2" xfId="10628" xr:uid="{00000000-0005-0000-0000-0000292A0000}"/>
    <cellStyle name="SAPBEXfilterItem 2 4 4 3" xfId="10629" xr:uid="{00000000-0005-0000-0000-00002A2A0000}"/>
    <cellStyle name="SAPBEXfilterItem 2 4 4 4" xfId="10630" xr:uid="{00000000-0005-0000-0000-00002B2A0000}"/>
    <cellStyle name="SAPBEXfilterItem 2 4 4 5" xfId="10631" xr:uid="{00000000-0005-0000-0000-00002C2A0000}"/>
    <cellStyle name="SAPBEXfilterItem 2 4 4 6" xfId="10632" xr:uid="{00000000-0005-0000-0000-00002D2A0000}"/>
    <cellStyle name="SAPBEXfilterItem 2 4 5" xfId="10633" xr:uid="{00000000-0005-0000-0000-00002E2A0000}"/>
    <cellStyle name="SAPBEXfilterItem 2 4 5 2" xfId="10634" xr:uid="{00000000-0005-0000-0000-00002F2A0000}"/>
    <cellStyle name="SAPBEXfilterItem 2 4 5 3" xfId="10635" xr:uid="{00000000-0005-0000-0000-0000302A0000}"/>
    <cellStyle name="SAPBEXfilterItem 2 4 5 4" xfId="10636" xr:uid="{00000000-0005-0000-0000-0000312A0000}"/>
    <cellStyle name="SAPBEXfilterItem 2 4 5 5" xfId="10637" xr:uid="{00000000-0005-0000-0000-0000322A0000}"/>
    <cellStyle name="SAPBEXfilterItem 2 4 5 6" xfId="10638" xr:uid="{00000000-0005-0000-0000-0000332A0000}"/>
    <cellStyle name="SAPBEXfilterItem 2 5" xfId="10639" xr:uid="{00000000-0005-0000-0000-0000342A0000}"/>
    <cellStyle name="SAPBEXfilterItem 2 6" xfId="10640" xr:uid="{00000000-0005-0000-0000-0000352A0000}"/>
    <cellStyle name="SAPBEXfilterItem 2 7" xfId="10641" xr:uid="{00000000-0005-0000-0000-0000362A0000}"/>
    <cellStyle name="SAPBEXfilterItem 2 8" xfId="10642" xr:uid="{00000000-0005-0000-0000-0000372A0000}"/>
    <cellStyle name="SAPBEXfilterItem 2 9" xfId="10643" xr:uid="{00000000-0005-0000-0000-0000382A0000}"/>
    <cellStyle name="SAPBEXfilterItem 20" xfId="10644" xr:uid="{00000000-0005-0000-0000-0000392A0000}"/>
    <cellStyle name="SAPBEXfilterItem 20 2" xfId="10645" xr:uid="{00000000-0005-0000-0000-00003A2A0000}"/>
    <cellStyle name="SAPBEXfilterItem 20 3" xfId="10646" xr:uid="{00000000-0005-0000-0000-00003B2A0000}"/>
    <cellStyle name="SAPBEXfilterItem 20 4" xfId="10647" xr:uid="{00000000-0005-0000-0000-00003C2A0000}"/>
    <cellStyle name="SAPBEXfilterItem 20 5" xfId="10648" xr:uid="{00000000-0005-0000-0000-00003D2A0000}"/>
    <cellStyle name="SAPBEXfilterItem 20 6" xfId="10649" xr:uid="{00000000-0005-0000-0000-00003E2A0000}"/>
    <cellStyle name="SAPBEXfilterItem 21" xfId="10650" xr:uid="{00000000-0005-0000-0000-00003F2A0000}"/>
    <cellStyle name="SAPBEXfilterItem 21 2" xfId="10651" xr:uid="{00000000-0005-0000-0000-0000402A0000}"/>
    <cellStyle name="SAPBEXfilterItem 21 3" xfId="10652" xr:uid="{00000000-0005-0000-0000-0000412A0000}"/>
    <cellStyle name="SAPBEXfilterItem 21 4" xfId="10653" xr:uid="{00000000-0005-0000-0000-0000422A0000}"/>
    <cellStyle name="SAPBEXfilterItem 21 5" xfId="10654" xr:uid="{00000000-0005-0000-0000-0000432A0000}"/>
    <cellStyle name="SAPBEXfilterItem 21 6" xfId="10655" xr:uid="{00000000-0005-0000-0000-0000442A0000}"/>
    <cellStyle name="SAPBEXfilterItem 22" xfId="10656" xr:uid="{00000000-0005-0000-0000-0000452A0000}"/>
    <cellStyle name="SAPBEXfilterItem 22 2" xfId="10657" xr:uid="{00000000-0005-0000-0000-0000462A0000}"/>
    <cellStyle name="SAPBEXfilterItem 22 3" xfId="10658" xr:uid="{00000000-0005-0000-0000-0000472A0000}"/>
    <cellStyle name="SAPBEXfilterItem 22 4" xfId="10659" xr:uid="{00000000-0005-0000-0000-0000482A0000}"/>
    <cellStyle name="SAPBEXfilterItem 22 5" xfId="10660" xr:uid="{00000000-0005-0000-0000-0000492A0000}"/>
    <cellStyle name="SAPBEXfilterItem 22 6" xfId="10661" xr:uid="{00000000-0005-0000-0000-00004A2A0000}"/>
    <cellStyle name="SAPBEXfilterItem 23" xfId="10662" xr:uid="{00000000-0005-0000-0000-00004B2A0000}"/>
    <cellStyle name="SAPBEXfilterItem 23 2" xfId="10663" xr:uid="{00000000-0005-0000-0000-00004C2A0000}"/>
    <cellStyle name="SAPBEXfilterItem 23 3" xfId="10664" xr:uid="{00000000-0005-0000-0000-00004D2A0000}"/>
    <cellStyle name="SAPBEXfilterItem 23 4" xfId="10665" xr:uid="{00000000-0005-0000-0000-00004E2A0000}"/>
    <cellStyle name="SAPBEXfilterItem 23 5" xfId="10666" xr:uid="{00000000-0005-0000-0000-00004F2A0000}"/>
    <cellStyle name="SAPBEXfilterItem 23 6" xfId="10667" xr:uid="{00000000-0005-0000-0000-0000502A0000}"/>
    <cellStyle name="SAPBEXfilterItem 24" xfId="10668" xr:uid="{00000000-0005-0000-0000-0000512A0000}"/>
    <cellStyle name="SAPBEXfilterItem 24 2" xfId="10669" xr:uid="{00000000-0005-0000-0000-0000522A0000}"/>
    <cellStyle name="SAPBEXfilterItem 24 3" xfId="10670" xr:uid="{00000000-0005-0000-0000-0000532A0000}"/>
    <cellStyle name="SAPBEXfilterItem 24 4" xfId="10671" xr:uid="{00000000-0005-0000-0000-0000542A0000}"/>
    <cellStyle name="SAPBEXfilterItem 24 5" xfId="10672" xr:uid="{00000000-0005-0000-0000-0000552A0000}"/>
    <cellStyle name="SAPBEXfilterItem 24 6" xfId="10673" xr:uid="{00000000-0005-0000-0000-0000562A0000}"/>
    <cellStyle name="SAPBEXfilterItem 25" xfId="10674" xr:uid="{00000000-0005-0000-0000-0000572A0000}"/>
    <cellStyle name="SAPBEXfilterItem 25 2" xfId="10675" xr:uid="{00000000-0005-0000-0000-0000582A0000}"/>
    <cellStyle name="SAPBEXfilterItem 25 3" xfId="10676" xr:uid="{00000000-0005-0000-0000-0000592A0000}"/>
    <cellStyle name="SAPBEXfilterItem 25 4" xfId="10677" xr:uid="{00000000-0005-0000-0000-00005A2A0000}"/>
    <cellStyle name="SAPBEXfilterItem 25 5" xfId="10678" xr:uid="{00000000-0005-0000-0000-00005B2A0000}"/>
    <cellStyle name="SAPBEXfilterItem 25 6" xfId="10679" xr:uid="{00000000-0005-0000-0000-00005C2A0000}"/>
    <cellStyle name="SAPBEXfilterItem 26" xfId="10680" xr:uid="{00000000-0005-0000-0000-00005D2A0000}"/>
    <cellStyle name="SAPBEXfilterItem 26 2" xfId="10681" xr:uid="{00000000-0005-0000-0000-00005E2A0000}"/>
    <cellStyle name="SAPBEXfilterItem 26 3" xfId="10682" xr:uid="{00000000-0005-0000-0000-00005F2A0000}"/>
    <cellStyle name="SAPBEXfilterItem 26 4" xfId="10683" xr:uid="{00000000-0005-0000-0000-0000602A0000}"/>
    <cellStyle name="SAPBEXfilterItem 26 5" xfId="10684" xr:uid="{00000000-0005-0000-0000-0000612A0000}"/>
    <cellStyle name="SAPBEXfilterItem 26 6" xfId="10685" xr:uid="{00000000-0005-0000-0000-0000622A0000}"/>
    <cellStyle name="SAPBEXfilterItem 27" xfId="10686" xr:uid="{00000000-0005-0000-0000-0000632A0000}"/>
    <cellStyle name="SAPBEXfilterItem 27 2" xfId="10687" xr:uid="{00000000-0005-0000-0000-0000642A0000}"/>
    <cellStyle name="SAPBEXfilterItem 27 3" xfId="10688" xr:uid="{00000000-0005-0000-0000-0000652A0000}"/>
    <cellStyle name="SAPBEXfilterItem 27 4" xfId="10689" xr:uid="{00000000-0005-0000-0000-0000662A0000}"/>
    <cellStyle name="SAPBEXfilterItem 27 5" xfId="10690" xr:uid="{00000000-0005-0000-0000-0000672A0000}"/>
    <cellStyle name="SAPBEXfilterItem 27 6" xfId="10691" xr:uid="{00000000-0005-0000-0000-0000682A0000}"/>
    <cellStyle name="SAPBEXfilterItem 28" xfId="10692" xr:uid="{00000000-0005-0000-0000-0000692A0000}"/>
    <cellStyle name="SAPBEXfilterItem 28 2" xfId="10693" xr:uid="{00000000-0005-0000-0000-00006A2A0000}"/>
    <cellStyle name="SAPBEXfilterItem 28 3" xfId="10694" xr:uid="{00000000-0005-0000-0000-00006B2A0000}"/>
    <cellStyle name="SAPBEXfilterItem 28 4" xfId="10695" xr:uid="{00000000-0005-0000-0000-00006C2A0000}"/>
    <cellStyle name="SAPBEXfilterItem 28 5" xfId="10696" xr:uid="{00000000-0005-0000-0000-00006D2A0000}"/>
    <cellStyle name="SAPBEXfilterItem 28 6" xfId="10697" xr:uid="{00000000-0005-0000-0000-00006E2A0000}"/>
    <cellStyle name="SAPBEXfilterItem 29" xfId="10698" xr:uid="{00000000-0005-0000-0000-00006F2A0000}"/>
    <cellStyle name="SAPBEXfilterItem 29 2" xfId="10699" xr:uid="{00000000-0005-0000-0000-0000702A0000}"/>
    <cellStyle name="SAPBEXfilterItem 29 3" xfId="10700" xr:uid="{00000000-0005-0000-0000-0000712A0000}"/>
    <cellStyle name="SAPBEXfilterItem 29 4" xfId="10701" xr:uid="{00000000-0005-0000-0000-0000722A0000}"/>
    <cellStyle name="SAPBEXfilterItem 29 5" xfId="10702" xr:uid="{00000000-0005-0000-0000-0000732A0000}"/>
    <cellStyle name="SAPBEXfilterItem 29 6" xfId="10703" xr:uid="{00000000-0005-0000-0000-0000742A0000}"/>
    <cellStyle name="SAPBEXfilterItem 3" xfId="10704" xr:uid="{00000000-0005-0000-0000-0000752A0000}"/>
    <cellStyle name="SAPBEXfilterItem 3 10" xfId="10705" xr:uid="{00000000-0005-0000-0000-0000762A0000}"/>
    <cellStyle name="SAPBEXfilterItem 3 11" xfId="10706" xr:uid="{00000000-0005-0000-0000-0000772A0000}"/>
    <cellStyle name="SAPBEXfilterItem 3 12" xfId="10707" xr:uid="{00000000-0005-0000-0000-0000782A0000}"/>
    <cellStyle name="SAPBEXfilterItem 3 2" xfId="10708" xr:uid="{00000000-0005-0000-0000-0000792A0000}"/>
    <cellStyle name="SAPBEXfilterItem 3 2 2" xfId="10709" xr:uid="{00000000-0005-0000-0000-00007A2A0000}"/>
    <cellStyle name="SAPBEXfilterItem 3 2 2 2" xfId="10710" xr:uid="{00000000-0005-0000-0000-00007B2A0000}"/>
    <cellStyle name="SAPBEXfilterItem 3 2 2 3" xfId="10711" xr:uid="{00000000-0005-0000-0000-00007C2A0000}"/>
    <cellStyle name="SAPBEXfilterItem 3 2 2 4" xfId="10712" xr:uid="{00000000-0005-0000-0000-00007D2A0000}"/>
    <cellStyle name="SAPBEXfilterItem 3 2 2 5" xfId="10713" xr:uid="{00000000-0005-0000-0000-00007E2A0000}"/>
    <cellStyle name="SAPBEXfilterItem 3 2 2 6" xfId="10714" xr:uid="{00000000-0005-0000-0000-00007F2A0000}"/>
    <cellStyle name="SAPBEXfilterItem 3 2 3" xfId="10715" xr:uid="{00000000-0005-0000-0000-0000802A0000}"/>
    <cellStyle name="SAPBEXfilterItem 3 2 3 2" xfId="10716" xr:uid="{00000000-0005-0000-0000-0000812A0000}"/>
    <cellStyle name="SAPBEXfilterItem 3 2 3 3" xfId="10717" xr:uid="{00000000-0005-0000-0000-0000822A0000}"/>
    <cellStyle name="SAPBEXfilterItem 3 2 3 4" xfId="10718" xr:uid="{00000000-0005-0000-0000-0000832A0000}"/>
    <cellStyle name="SAPBEXfilterItem 3 2 3 5" xfId="10719" xr:uid="{00000000-0005-0000-0000-0000842A0000}"/>
    <cellStyle name="SAPBEXfilterItem 3 2 3 6" xfId="10720" xr:uid="{00000000-0005-0000-0000-0000852A0000}"/>
    <cellStyle name="SAPBEXfilterItem 3 2 4" xfId="10721" xr:uid="{00000000-0005-0000-0000-0000862A0000}"/>
    <cellStyle name="SAPBEXfilterItem 3 2 4 2" xfId="10722" xr:uid="{00000000-0005-0000-0000-0000872A0000}"/>
    <cellStyle name="SAPBEXfilterItem 3 2 4 3" xfId="10723" xr:uid="{00000000-0005-0000-0000-0000882A0000}"/>
    <cellStyle name="SAPBEXfilterItem 3 2 4 4" xfId="10724" xr:uid="{00000000-0005-0000-0000-0000892A0000}"/>
    <cellStyle name="SAPBEXfilterItem 3 2 4 5" xfId="10725" xr:uid="{00000000-0005-0000-0000-00008A2A0000}"/>
    <cellStyle name="SAPBEXfilterItem 3 2 4 6" xfId="10726" xr:uid="{00000000-0005-0000-0000-00008B2A0000}"/>
    <cellStyle name="SAPBEXfilterItem 3 2 5" xfId="10727" xr:uid="{00000000-0005-0000-0000-00008C2A0000}"/>
    <cellStyle name="SAPBEXfilterItem 3 2 5 2" xfId="10728" xr:uid="{00000000-0005-0000-0000-00008D2A0000}"/>
    <cellStyle name="SAPBEXfilterItem 3 2 5 3" xfId="10729" xr:uid="{00000000-0005-0000-0000-00008E2A0000}"/>
    <cellStyle name="SAPBEXfilterItem 3 2 5 4" xfId="10730" xr:uid="{00000000-0005-0000-0000-00008F2A0000}"/>
    <cellStyle name="SAPBEXfilterItem 3 2 5 5" xfId="10731" xr:uid="{00000000-0005-0000-0000-0000902A0000}"/>
    <cellStyle name="SAPBEXfilterItem 3 2 5 6" xfId="10732" xr:uid="{00000000-0005-0000-0000-0000912A0000}"/>
    <cellStyle name="SAPBEXfilterItem 3 3" xfId="10733" xr:uid="{00000000-0005-0000-0000-0000922A0000}"/>
    <cellStyle name="SAPBEXfilterItem 3 3 2" xfId="10734" xr:uid="{00000000-0005-0000-0000-0000932A0000}"/>
    <cellStyle name="SAPBEXfilterItem 3 3 3" xfId="10735" xr:uid="{00000000-0005-0000-0000-0000942A0000}"/>
    <cellStyle name="SAPBEXfilterItem 3 3 4" xfId="10736" xr:uid="{00000000-0005-0000-0000-0000952A0000}"/>
    <cellStyle name="SAPBEXfilterItem 3 3 5" xfId="10737" xr:uid="{00000000-0005-0000-0000-0000962A0000}"/>
    <cellStyle name="SAPBEXfilterItem 3 3 6" xfId="10738" xr:uid="{00000000-0005-0000-0000-0000972A0000}"/>
    <cellStyle name="SAPBEXfilterItem 3 4" xfId="10739" xr:uid="{00000000-0005-0000-0000-0000982A0000}"/>
    <cellStyle name="SAPBEXfilterItem 3 4 2" xfId="10740" xr:uid="{00000000-0005-0000-0000-0000992A0000}"/>
    <cellStyle name="SAPBEXfilterItem 3 4 3" xfId="10741" xr:uid="{00000000-0005-0000-0000-00009A2A0000}"/>
    <cellStyle name="SAPBEXfilterItem 3 4 4" xfId="10742" xr:uid="{00000000-0005-0000-0000-00009B2A0000}"/>
    <cellStyle name="SAPBEXfilterItem 3 4 5" xfId="10743" xr:uid="{00000000-0005-0000-0000-00009C2A0000}"/>
    <cellStyle name="SAPBEXfilterItem 3 4 6" xfId="10744" xr:uid="{00000000-0005-0000-0000-00009D2A0000}"/>
    <cellStyle name="SAPBEXfilterItem 3 5" xfId="10745" xr:uid="{00000000-0005-0000-0000-00009E2A0000}"/>
    <cellStyle name="SAPBEXfilterItem 3 6" xfId="10746" xr:uid="{00000000-0005-0000-0000-00009F2A0000}"/>
    <cellStyle name="SAPBEXfilterItem 3 7" xfId="10747" xr:uid="{00000000-0005-0000-0000-0000A02A0000}"/>
    <cellStyle name="SAPBEXfilterItem 3 8" xfId="10748" xr:uid="{00000000-0005-0000-0000-0000A12A0000}"/>
    <cellStyle name="SAPBEXfilterItem 3 9" xfId="10749" xr:uid="{00000000-0005-0000-0000-0000A22A0000}"/>
    <cellStyle name="SAPBEXfilterItem 30" xfId="10750" xr:uid="{00000000-0005-0000-0000-0000A32A0000}"/>
    <cellStyle name="SAPBEXfilterItem 30 2" xfId="10751" xr:uid="{00000000-0005-0000-0000-0000A42A0000}"/>
    <cellStyle name="SAPBEXfilterItem 30 3" xfId="10752" xr:uid="{00000000-0005-0000-0000-0000A52A0000}"/>
    <cellStyle name="SAPBEXfilterItem 30 4" xfId="10753" xr:uid="{00000000-0005-0000-0000-0000A62A0000}"/>
    <cellStyle name="SAPBEXfilterItem 30 5" xfId="10754" xr:uid="{00000000-0005-0000-0000-0000A72A0000}"/>
    <cellStyle name="SAPBEXfilterItem 30 6" xfId="10755" xr:uid="{00000000-0005-0000-0000-0000A82A0000}"/>
    <cellStyle name="SAPBEXfilterItem 31" xfId="10756" xr:uid="{00000000-0005-0000-0000-0000A92A0000}"/>
    <cellStyle name="SAPBEXfilterItem 31 2" xfId="10757" xr:uid="{00000000-0005-0000-0000-0000AA2A0000}"/>
    <cellStyle name="SAPBEXfilterItem 31 3" xfId="10758" xr:uid="{00000000-0005-0000-0000-0000AB2A0000}"/>
    <cellStyle name="SAPBEXfilterItem 31 4" xfId="10759" xr:uid="{00000000-0005-0000-0000-0000AC2A0000}"/>
    <cellStyle name="SAPBEXfilterItem 31 5" xfId="10760" xr:uid="{00000000-0005-0000-0000-0000AD2A0000}"/>
    <cellStyle name="SAPBEXfilterItem 31 6" xfId="10761" xr:uid="{00000000-0005-0000-0000-0000AE2A0000}"/>
    <cellStyle name="SAPBEXfilterItem 32" xfId="10762" xr:uid="{00000000-0005-0000-0000-0000AF2A0000}"/>
    <cellStyle name="SAPBEXfilterItem 32 2" xfId="10763" xr:uid="{00000000-0005-0000-0000-0000B02A0000}"/>
    <cellStyle name="SAPBEXfilterItem 32 3" xfId="10764" xr:uid="{00000000-0005-0000-0000-0000B12A0000}"/>
    <cellStyle name="SAPBEXfilterItem 32 4" xfId="10765" xr:uid="{00000000-0005-0000-0000-0000B22A0000}"/>
    <cellStyle name="SAPBEXfilterItem 32 5" xfId="10766" xr:uid="{00000000-0005-0000-0000-0000B32A0000}"/>
    <cellStyle name="SAPBEXfilterItem 32 6" xfId="10767" xr:uid="{00000000-0005-0000-0000-0000B42A0000}"/>
    <cellStyle name="SAPBEXfilterItem 33" xfId="10768" xr:uid="{00000000-0005-0000-0000-0000B52A0000}"/>
    <cellStyle name="SAPBEXfilterItem 34" xfId="10769" xr:uid="{00000000-0005-0000-0000-0000B62A0000}"/>
    <cellStyle name="SAPBEXfilterItem 35" xfId="10770" xr:uid="{00000000-0005-0000-0000-0000B72A0000}"/>
    <cellStyle name="SAPBEXfilterItem 36" xfId="10771" xr:uid="{00000000-0005-0000-0000-0000B82A0000}"/>
    <cellStyle name="SAPBEXfilterItem 37" xfId="10772" xr:uid="{00000000-0005-0000-0000-0000B92A0000}"/>
    <cellStyle name="SAPBEXfilterItem 38" xfId="10773" xr:uid="{00000000-0005-0000-0000-0000BA2A0000}"/>
    <cellStyle name="SAPBEXfilterItem 39" xfId="10774" xr:uid="{00000000-0005-0000-0000-0000BB2A0000}"/>
    <cellStyle name="SAPBEXfilterItem 4" xfId="10775" xr:uid="{00000000-0005-0000-0000-0000BC2A0000}"/>
    <cellStyle name="SAPBEXfilterItem 4 2" xfId="10776" xr:uid="{00000000-0005-0000-0000-0000BD2A0000}"/>
    <cellStyle name="SAPBEXfilterItem 4 3" xfId="10777" xr:uid="{00000000-0005-0000-0000-0000BE2A0000}"/>
    <cellStyle name="SAPBEXfilterItem 4 4" xfId="10778" xr:uid="{00000000-0005-0000-0000-0000BF2A0000}"/>
    <cellStyle name="SAPBEXfilterItem 4 5" xfId="10779" xr:uid="{00000000-0005-0000-0000-0000C02A0000}"/>
    <cellStyle name="SAPBEXfilterItem 4 6" xfId="10780" xr:uid="{00000000-0005-0000-0000-0000C12A0000}"/>
    <cellStyle name="SAPBEXfilterItem 40" xfId="10781" xr:uid="{00000000-0005-0000-0000-0000C22A0000}"/>
    <cellStyle name="SAPBEXfilterItem 41" xfId="10782" xr:uid="{00000000-0005-0000-0000-0000C32A0000}"/>
    <cellStyle name="SAPBEXfilterItem 42" xfId="10783" xr:uid="{00000000-0005-0000-0000-0000C42A0000}"/>
    <cellStyle name="SAPBEXfilterItem 43" xfId="10784" xr:uid="{00000000-0005-0000-0000-0000C52A0000}"/>
    <cellStyle name="SAPBEXfilterItem 44" xfId="10785" xr:uid="{00000000-0005-0000-0000-0000C62A0000}"/>
    <cellStyle name="SAPBEXfilterItem 45" xfId="10786" xr:uid="{00000000-0005-0000-0000-0000C72A0000}"/>
    <cellStyle name="SAPBEXfilterItem 46" xfId="10787" xr:uid="{00000000-0005-0000-0000-0000C82A0000}"/>
    <cellStyle name="SAPBEXfilterItem 47" xfId="10788" xr:uid="{00000000-0005-0000-0000-0000C92A0000}"/>
    <cellStyle name="SAPBEXfilterItem 48" xfId="10789" xr:uid="{00000000-0005-0000-0000-0000CA2A0000}"/>
    <cellStyle name="SAPBEXfilterItem 49" xfId="10790" xr:uid="{00000000-0005-0000-0000-0000CB2A0000}"/>
    <cellStyle name="SAPBEXfilterItem 5" xfId="10791" xr:uid="{00000000-0005-0000-0000-0000CC2A0000}"/>
    <cellStyle name="SAPBEXfilterItem 5 2" xfId="10792" xr:uid="{00000000-0005-0000-0000-0000CD2A0000}"/>
    <cellStyle name="SAPBEXfilterItem 5 3" xfId="10793" xr:uid="{00000000-0005-0000-0000-0000CE2A0000}"/>
    <cellStyle name="SAPBEXfilterItem 5 4" xfId="10794" xr:uid="{00000000-0005-0000-0000-0000CF2A0000}"/>
    <cellStyle name="SAPBEXfilterItem 5 5" xfId="10795" xr:uid="{00000000-0005-0000-0000-0000D02A0000}"/>
    <cellStyle name="SAPBEXfilterItem 5 6" xfId="10796" xr:uid="{00000000-0005-0000-0000-0000D12A0000}"/>
    <cellStyle name="SAPBEXfilterItem 50" xfId="10797" xr:uid="{00000000-0005-0000-0000-0000D22A0000}"/>
    <cellStyle name="SAPBEXfilterItem 51" xfId="10798" xr:uid="{00000000-0005-0000-0000-0000D32A0000}"/>
    <cellStyle name="SAPBEXfilterItem 52" xfId="10799" xr:uid="{00000000-0005-0000-0000-0000D42A0000}"/>
    <cellStyle name="SAPBEXfilterItem 53" xfId="10800" xr:uid="{00000000-0005-0000-0000-0000D52A0000}"/>
    <cellStyle name="SAPBEXfilterItem 54" xfId="10801" xr:uid="{00000000-0005-0000-0000-0000D62A0000}"/>
    <cellStyle name="SAPBEXfilterItem 55" xfId="10802" xr:uid="{00000000-0005-0000-0000-0000D72A0000}"/>
    <cellStyle name="SAPBEXfilterItem 56" xfId="10803" xr:uid="{00000000-0005-0000-0000-0000D82A0000}"/>
    <cellStyle name="SAPBEXfilterItem 57" xfId="10804" xr:uid="{00000000-0005-0000-0000-0000D92A0000}"/>
    <cellStyle name="SAPBEXfilterItem 58" xfId="10805" xr:uid="{00000000-0005-0000-0000-0000DA2A0000}"/>
    <cellStyle name="SAPBEXfilterItem 59" xfId="10806" xr:uid="{00000000-0005-0000-0000-0000DB2A0000}"/>
    <cellStyle name="SAPBEXfilterItem 6" xfId="10807" xr:uid="{00000000-0005-0000-0000-0000DC2A0000}"/>
    <cellStyle name="SAPBEXfilterItem 6 10" xfId="10808" xr:uid="{00000000-0005-0000-0000-0000DD2A0000}"/>
    <cellStyle name="SAPBEXfilterItem 6 2" xfId="10809" xr:uid="{00000000-0005-0000-0000-0000DE2A0000}"/>
    <cellStyle name="SAPBEXfilterItem 6 3" xfId="10810" xr:uid="{00000000-0005-0000-0000-0000DF2A0000}"/>
    <cellStyle name="SAPBEXfilterItem 6 4" xfId="10811" xr:uid="{00000000-0005-0000-0000-0000E02A0000}"/>
    <cellStyle name="SAPBEXfilterItem 6 5" xfId="10812" xr:uid="{00000000-0005-0000-0000-0000E12A0000}"/>
    <cellStyle name="SAPBEXfilterItem 6 6" xfId="10813" xr:uid="{00000000-0005-0000-0000-0000E22A0000}"/>
    <cellStyle name="SAPBEXfilterItem 6 7" xfId="10814" xr:uid="{00000000-0005-0000-0000-0000E32A0000}"/>
    <cellStyle name="SAPBEXfilterItem 6 8" xfId="10815" xr:uid="{00000000-0005-0000-0000-0000E42A0000}"/>
    <cellStyle name="SAPBEXfilterItem 6 9" xfId="10816" xr:uid="{00000000-0005-0000-0000-0000E52A0000}"/>
    <cellStyle name="SAPBEXfilterItem 60" xfId="10817" xr:uid="{00000000-0005-0000-0000-0000E62A0000}"/>
    <cellStyle name="SAPBEXfilterItem 61" xfId="10818" xr:uid="{00000000-0005-0000-0000-0000E72A0000}"/>
    <cellStyle name="SAPBEXfilterItem 62" xfId="10819" xr:uid="{00000000-0005-0000-0000-0000E82A0000}"/>
    <cellStyle name="SAPBEXfilterItem 63" xfId="10820" xr:uid="{00000000-0005-0000-0000-0000E92A0000}"/>
    <cellStyle name="SAPBEXfilterItem 64" xfId="10821" xr:uid="{00000000-0005-0000-0000-0000EA2A0000}"/>
    <cellStyle name="SAPBEXfilterItem 65" xfId="10822" xr:uid="{00000000-0005-0000-0000-0000EB2A0000}"/>
    <cellStyle name="SAPBEXfilterItem 66" xfId="10823" xr:uid="{00000000-0005-0000-0000-0000EC2A0000}"/>
    <cellStyle name="SAPBEXfilterItem 67" xfId="10824" xr:uid="{00000000-0005-0000-0000-0000ED2A0000}"/>
    <cellStyle name="SAPBEXfilterItem 68" xfId="10825" xr:uid="{00000000-0005-0000-0000-0000EE2A0000}"/>
    <cellStyle name="SAPBEXfilterItem 69" xfId="10826" xr:uid="{00000000-0005-0000-0000-0000EF2A0000}"/>
    <cellStyle name="SAPBEXfilterItem 7" xfId="10827" xr:uid="{00000000-0005-0000-0000-0000F02A0000}"/>
    <cellStyle name="SAPBEXfilterItem 7 10" xfId="10828" xr:uid="{00000000-0005-0000-0000-0000F12A0000}"/>
    <cellStyle name="SAPBEXfilterItem 7 2" xfId="10829" xr:uid="{00000000-0005-0000-0000-0000F22A0000}"/>
    <cellStyle name="SAPBEXfilterItem 7 3" xfId="10830" xr:uid="{00000000-0005-0000-0000-0000F32A0000}"/>
    <cellStyle name="SAPBEXfilterItem 7 4" xfId="10831" xr:uid="{00000000-0005-0000-0000-0000F42A0000}"/>
    <cellStyle name="SAPBEXfilterItem 7 5" xfId="10832" xr:uid="{00000000-0005-0000-0000-0000F52A0000}"/>
    <cellStyle name="SAPBEXfilterItem 7 6" xfId="10833" xr:uid="{00000000-0005-0000-0000-0000F62A0000}"/>
    <cellStyle name="SAPBEXfilterItem 7 7" xfId="10834" xr:uid="{00000000-0005-0000-0000-0000F72A0000}"/>
    <cellStyle name="SAPBEXfilterItem 7 8" xfId="10835" xr:uid="{00000000-0005-0000-0000-0000F82A0000}"/>
    <cellStyle name="SAPBEXfilterItem 7 9" xfId="10836" xr:uid="{00000000-0005-0000-0000-0000F92A0000}"/>
    <cellStyle name="SAPBEXfilterItem 70" xfId="10837" xr:uid="{00000000-0005-0000-0000-0000FA2A0000}"/>
    <cellStyle name="SAPBEXfilterItem 71" xfId="10838" xr:uid="{00000000-0005-0000-0000-0000FB2A0000}"/>
    <cellStyle name="SAPBEXfilterItem 72" xfId="10839" xr:uid="{00000000-0005-0000-0000-0000FC2A0000}"/>
    <cellStyle name="SAPBEXfilterItem 73" xfId="10840" xr:uid="{00000000-0005-0000-0000-0000FD2A0000}"/>
    <cellStyle name="SAPBEXfilterItem 74" xfId="10841" xr:uid="{00000000-0005-0000-0000-0000FE2A0000}"/>
    <cellStyle name="SAPBEXfilterItem 75" xfId="10842" xr:uid="{00000000-0005-0000-0000-0000FF2A0000}"/>
    <cellStyle name="SAPBEXfilterItem 76" xfId="10843" xr:uid="{00000000-0005-0000-0000-0000002B0000}"/>
    <cellStyle name="SAPBEXfilterItem 77" xfId="10844" xr:uid="{00000000-0005-0000-0000-0000012B0000}"/>
    <cellStyle name="SAPBEXfilterItem 78" xfId="10845" xr:uid="{00000000-0005-0000-0000-0000022B0000}"/>
    <cellStyle name="SAPBEXfilterItem 79" xfId="10846" xr:uid="{00000000-0005-0000-0000-0000032B0000}"/>
    <cellStyle name="SAPBEXfilterItem 8" xfId="10847" xr:uid="{00000000-0005-0000-0000-0000042B0000}"/>
    <cellStyle name="SAPBEXfilterItem 8 2" xfId="10848" xr:uid="{00000000-0005-0000-0000-0000052B0000}"/>
    <cellStyle name="SAPBEXfilterItem 8 3" xfId="10849" xr:uid="{00000000-0005-0000-0000-0000062B0000}"/>
    <cellStyle name="SAPBEXfilterItem 8 4" xfId="10850" xr:uid="{00000000-0005-0000-0000-0000072B0000}"/>
    <cellStyle name="SAPBEXfilterItem 8 5" xfId="10851" xr:uid="{00000000-0005-0000-0000-0000082B0000}"/>
    <cellStyle name="SAPBEXfilterItem 8 6" xfId="10852" xr:uid="{00000000-0005-0000-0000-0000092B0000}"/>
    <cellStyle name="SAPBEXfilterItem 80" xfId="10853" xr:uid="{00000000-0005-0000-0000-00000A2B0000}"/>
    <cellStyle name="SAPBEXfilterItem 81" xfId="10854" xr:uid="{00000000-0005-0000-0000-00000B2B0000}"/>
    <cellStyle name="SAPBEXfilterItem 82" xfId="10855" xr:uid="{00000000-0005-0000-0000-00000C2B0000}"/>
    <cellStyle name="SAPBEXfilterItem 83" xfId="10856" xr:uid="{00000000-0005-0000-0000-00000D2B0000}"/>
    <cellStyle name="SAPBEXfilterItem 84" xfId="10857" xr:uid="{00000000-0005-0000-0000-00000E2B0000}"/>
    <cellStyle name="SAPBEXfilterItem 85" xfId="10858" xr:uid="{00000000-0005-0000-0000-00000F2B0000}"/>
    <cellStyle name="SAPBEXfilterItem 86" xfId="10859" xr:uid="{00000000-0005-0000-0000-0000102B0000}"/>
    <cellStyle name="SAPBEXfilterItem 87" xfId="10860" xr:uid="{00000000-0005-0000-0000-0000112B0000}"/>
    <cellStyle name="SAPBEXfilterItem 88" xfId="10861" xr:uid="{00000000-0005-0000-0000-0000122B0000}"/>
    <cellStyle name="SAPBEXfilterItem 89" xfId="10862" xr:uid="{00000000-0005-0000-0000-0000132B0000}"/>
    <cellStyle name="SAPBEXfilterItem 9" xfId="10863" xr:uid="{00000000-0005-0000-0000-0000142B0000}"/>
    <cellStyle name="SAPBEXfilterItem 9 2" xfId="10864" xr:uid="{00000000-0005-0000-0000-0000152B0000}"/>
    <cellStyle name="SAPBEXfilterItem 9 3" xfId="10865" xr:uid="{00000000-0005-0000-0000-0000162B0000}"/>
    <cellStyle name="SAPBEXfilterItem 9 4" xfId="10866" xr:uid="{00000000-0005-0000-0000-0000172B0000}"/>
    <cellStyle name="SAPBEXfilterItem 9 5" xfId="10867" xr:uid="{00000000-0005-0000-0000-0000182B0000}"/>
    <cellStyle name="SAPBEXfilterItem 9 6" xfId="10868" xr:uid="{00000000-0005-0000-0000-0000192B0000}"/>
    <cellStyle name="SAPBEXfilterItem 90" xfId="10869" xr:uid="{00000000-0005-0000-0000-00001A2B0000}"/>
    <cellStyle name="SAPBEXfilterItem 91" xfId="10870" xr:uid="{00000000-0005-0000-0000-00001B2B0000}"/>
    <cellStyle name="SAPBEXfilterItem 92" xfId="10871" xr:uid="{00000000-0005-0000-0000-00001C2B0000}"/>
    <cellStyle name="SAPBEXfilterItem 93" xfId="10872" xr:uid="{00000000-0005-0000-0000-00001D2B0000}"/>
    <cellStyle name="SAPBEXfilterItem 94" xfId="10873" xr:uid="{00000000-0005-0000-0000-00001E2B0000}"/>
    <cellStyle name="SAPBEXfilterItem 95" xfId="10874" xr:uid="{00000000-0005-0000-0000-00001F2B0000}"/>
    <cellStyle name="SAPBEXfilterItem 96" xfId="10875" xr:uid="{00000000-0005-0000-0000-0000202B0000}"/>
    <cellStyle name="SAPBEXfilterItem 97" xfId="10876" xr:uid="{00000000-0005-0000-0000-0000212B0000}"/>
    <cellStyle name="SAPBEXfilterItem 98" xfId="10877" xr:uid="{00000000-0005-0000-0000-0000222B0000}"/>
    <cellStyle name="SAPBEXfilterItem 99" xfId="10878" xr:uid="{00000000-0005-0000-0000-0000232B0000}"/>
    <cellStyle name="SAPBEXfilterItem_Receipts" xfId="10879" xr:uid="{00000000-0005-0000-0000-0000242B0000}"/>
    <cellStyle name="SAPBEXfilterText" xfId="10880" xr:uid="{00000000-0005-0000-0000-0000252B0000}"/>
    <cellStyle name="SAPBEXfilterText 10" xfId="10881" xr:uid="{00000000-0005-0000-0000-0000262B0000}"/>
    <cellStyle name="SAPBEXfilterText 10 2" xfId="10882" xr:uid="{00000000-0005-0000-0000-0000272B0000}"/>
    <cellStyle name="SAPBEXfilterText 10 3" xfId="10883" xr:uid="{00000000-0005-0000-0000-0000282B0000}"/>
    <cellStyle name="SAPBEXfilterText 10 4" xfId="10884" xr:uid="{00000000-0005-0000-0000-0000292B0000}"/>
    <cellStyle name="SAPBEXfilterText 10 5" xfId="10885" xr:uid="{00000000-0005-0000-0000-00002A2B0000}"/>
    <cellStyle name="SAPBEXfilterText 10 6" xfId="10886" xr:uid="{00000000-0005-0000-0000-00002B2B0000}"/>
    <cellStyle name="SAPBEXfilterText 11" xfId="10887" xr:uid="{00000000-0005-0000-0000-00002C2B0000}"/>
    <cellStyle name="SAPBEXfilterText 11 2" xfId="10888" xr:uid="{00000000-0005-0000-0000-00002D2B0000}"/>
    <cellStyle name="SAPBEXfilterText 11 3" xfId="10889" xr:uid="{00000000-0005-0000-0000-00002E2B0000}"/>
    <cellStyle name="SAPBEXfilterText 11 4" xfId="10890" xr:uid="{00000000-0005-0000-0000-00002F2B0000}"/>
    <cellStyle name="SAPBEXfilterText 11 5" xfId="10891" xr:uid="{00000000-0005-0000-0000-0000302B0000}"/>
    <cellStyle name="SAPBEXfilterText 11 6" xfId="10892" xr:uid="{00000000-0005-0000-0000-0000312B0000}"/>
    <cellStyle name="SAPBEXfilterText 12" xfId="10893" xr:uid="{00000000-0005-0000-0000-0000322B0000}"/>
    <cellStyle name="SAPBEXfilterText 12 2" xfId="10894" xr:uid="{00000000-0005-0000-0000-0000332B0000}"/>
    <cellStyle name="SAPBEXfilterText 12 3" xfId="10895" xr:uid="{00000000-0005-0000-0000-0000342B0000}"/>
    <cellStyle name="SAPBEXfilterText 12 4" xfId="10896" xr:uid="{00000000-0005-0000-0000-0000352B0000}"/>
    <cellStyle name="SAPBEXfilterText 12 5" xfId="10897" xr:uid="{00000000-0005-0000-0000-0000362B0000}"/>
    <cellStyle name="SAPBEXfilterText 12 6" xfId="10898" xr:uid="{00000000-0005-0000-0000-0000372B0000}"/>
    <cellStyle name="SAPBEXfilterText 13" xfId="10899" xr:uid="{00000000-0005-0000-0000-0000382B0000}"/>
    <cellStyle name="SAPBEXfilterText 13 2" xfId="10900" xr:uid="{00000000-0005-0000-0000-0000392B0000}"/>
    <cellStyle name="SAPBEXfilterText 13 3" xfId="10901" xr:uid="{00000000-0005-0000-0000-00003A2B0000}"/>
    <cellStyle name="SAPBEXfilterText 13 4" xfId="10902" xr:uid="{00000000-0005-0000-0000-00003B2B0000}"/>
    <cellStyle name="SAPBEXfilterText 13 5" xfId="10903" xr:uid="{00000000-0005-0000-0000-00003C2B0000}"/>
    <cellStyle name="SAPBEXfilterText 13 6" xfId="10904" xr:uid="{00000000-0005-0000-0000-00003D2B0000}"/>
    <cellStyle name="SAPBEXfilterText 14" xfId="10905" xr:uid="{00000000-0005-0000-0000-00003E2B0000}"/>
    <cellStyle name="SAPBEXfilterText 14 2" xfId="10906" xr:uid="{00000000-0005-0000-0000-00003F2B0000}"/>
    <cellStyle name="SAPBEXfilterText 14 3" xfId="10907" xr:uid="{00000000-0005-0000-0000-0000402B0000}"/>
    <cellStyle name="SAPBEXfilterText 14 4" xfId="10908" xr:uid="{00000000-0005-0000-0000-0000412B0000}"/>
    <cellStyle name="SAPBEXfilterText 14 5" xfId="10909" xr:uid="{00000000-0005-0000-0000-0000422B0000}"/>
    <cellStyle name="SAPBEXfilterText 14 6" xfId="10910" xr:uid="{00000000-0005-0000-0000-0000432B0000}"/>
    <cellStyle name="SAPBEXfilterText 15" xfId="10911" xr:uid="{00000000-0005-0000-0000-0000442B0000}"/>
    <cellStyle name="SAPBEXfilterText 15 2" xfId="10912" xr:uid="{00000000-0005-0000-0000-0000452B0000}"/>
    <cellStyle name="SAPBEXfilterText 15 3" xfId="10913" xr:uid="{00000000-0005-0000-0000-0000462B0000}"/>
    <cellStyle name="SAPBEXfilterText 15 4" xfId="10914" xr:uid="{00000000-0005-0000-0000-0000472B0000}"/>
    <cellStyle name="SAPBEXfilterText 15 5" xfId="10915" xr:uid="{00000000-0005-0000-0000-0000482B0000}"/>
    <cellStyle name="SAPBEXfilterText 15 6" xfId="10916" xr:uid="{00000000-0005-0000-0000-0000492B0000}"/>
    <cellStyle name="SAPBEXfilterText 16" xfId="10917" xr:uid="{00000000-0005-0000-0000-00004A2B0000}"/>
    <cellStyle name="SAPBEXfilterText 16 2" xfId="10918" xr:uid="{00000000-0005-0000-0000-00004B2B0000}"/>
    <cellStyle name="SAPBEXfilterText 16 3" xfId="10919" xr:uid="{00000000-0005-0000-0000-00004C2B0000}"/>
    <cellStyle name="SAPBEXfilterText 16 4" xfId="10920" xr:uid="{00000000-0005-0000-0000-00004D2B0000}"/>
    <cellStyle name="SAPBEXfilterText 16 5" xfId="10921" xr:uid="{00000000-0005-0000-0000-00004E2B0000}"/>
    <cellStyle name="SAPBEXfilterText 16 6" xfId="10922" xr:uid="{00000000-0005-0000-0000-00004F2B0000}"/>
    <cellStyle name="SAPBEXfilterText 17" xfId="10923" xr:uid="{00000000-0005-0000-0000-0000502B0000}"/>
    <cellStyle name="SAPBEXfilterText 17 2" xfId="10924" xr:uid="{00000000-0005-0000-0000-0000512B0000}"/>
    <cellStyle name="SAPBEXfilterText 17 3" xfId="10925" xr:uid="{00000000-0005-0000-0000-0000522B0000}"/>
    <cellStyle name="SAPBEXfilterText 17 4" xfId="10926" xr:uid="{00000000-0005-0000-0000-0000532B0000}"/>
    <cellStyle name="SAPBEXfilterText 17 5" xfId="10927" xr:uid="{00000000-0005-0000-0000-0000542B0000}"/>
    <cellStyle name="SAPBEXfilterText 17 6" xfId="10928" xr:uid="{00000000-0005-0000-0000-0000552B0000}"/>
    <cellStyle name="SAPBEXfilterText 18" xfId="10929" xr:uid="{00000000-0005-0000-0000-0000562B0000}"/>
    <cellStyle name="SAPBEXfilterText 18 2" xfId="10930" xr:uid="{00000000-0005-0000-0000-0000572B0000}"/>
    <cellStyle name="SAPBEXfilterText 18 3" xfId="10931" xr:uid="{00000000-0005-0000-0000-0000582B0000}"/>
    <cellStyle name="SAPBEXfilterText 18 4" xfId="10932" xr:uid="{00000000-0005-0000-0000-0000592B0000}"/>
    <cellStyle name="SAPBEXfilterText 18 5" xfId="10933" xr:uid="{00000000-0005-0000-0000-00005A2B0000}"/>
    <cellStyle name="SAPBEXfilterText 18 6" xfId="10934" xr:uid="{00000000-0005-0000-0000-00005B2B0000}"/>
    <cellStyle name="SAPBEXfilterText 19" xfId="10935" xr:uid="{00000000-0005-0000-0000-00005C2B0000}"/>
    <cellStyle name="SAPBEXfilterText 19 2" xfId="10936" xr:uid="{00000000-0005-0000-0000-00005D2B0000}"/>
    <cellStyle name="SAPBEXfilterText 19 3" xfId="10937" xr:uid="{00000000-0005-0000-0000-00005E2B0000}"/>
    <cellStyle name="SAPBEXfilterText 19 4" xfId="10938" xr:uid="{00000000-0005-0000-0000-00005F2B0000}"/>
    <cellStyle name="SAPBEXfilterText 19 5" xfId="10939" xr:uid="{00000000-0005-0000-0000-0000602B0000}"/>
    <cellStyle name="SAPBEXfilterText 19 6" xfId="10940" xr:uid="{00000000-0005-0000-0000-0000612B0000}"/>
    <cellStyle name="SAPBEXfilterText 2" xfId="10941" xr:uid="{00000000-0005-0000-0000-0000622B0000}"/>
    <cellStyle name="SAPBEXfilterText 2 10" xfId="10942" xr:uid="{00000000-0005-0000-0000-0000632B0000}"/>
    <cellStyle name="SAPBEXfilterText 2 11" xfId="10943" xr:uid="{00000000-0005-0000-0000-0000642B0000}"/>
    <cellStyle name="SAPBEXfilterText 2 12" xfId="10944" xr:uid="{00000000-0005-0000-0000-0000652B0000}"/>
    <cellStyle name="SAPBEXfilterText 2 13" xfId="10945" xr:uid="{00000000-0005-0000-0000-0000662B0000}"/>
    <cellStyle name="SAPBEXfilterText 2 14" xfId="10946" xr:uid="{00000000-0005-0000-0000-0000672B0000}"/>
    <cellStyle name="SAPBEXfilterText 2 15" xfId="10947" xr:uid="{00000000-0005-0000-0000-0000682B0000}"/>
    <cellStyle name="SAPBEXfilterText 2 16" xfId="10948" xr:uid="{00000000-0005-0000-0000-0000692B0000}"/>
    <cellStyle name="SAPBEXfilterText 2 17" xfId="10949" xr:uid="{00000000-0005-0000-0000-00006A2B0000}"/>
    <cellStyle name="SAPBEXfilterText 2 18" xfId="10950" xr:uid="{00000000-0005-0000-0000-00006B2B0000}"/>
    <cellStyle name="SAPBEXfilterText 2 2" xfId="10951" xr:uid="{00000000-0005-0000-0000-00006C2B0000}"/>
    <cellStyle name="SAPBEXfilterText 2 2 2" xfId="10952" xr:uid="{00000000-0005-0000-0000-00006D2B0000}"/>
    <cellStyle name="SAPBEXfilterText 2 2 2 2" xfId="10953" xr:uid="{00000000-0005-0000-0000-00006E2B0000}"/>
    <cellStyle name="SAPBEXfilterText 2 2 2 3" xfId="10954" xr:uid="{00000000-0005-0000-0000-00006F2B0000}"/>
    <cellStyle name="SAPBEXfilterText 2 2 2 4" xfId="10955" xr:uid="{00000000-0005-0000-0000-0000702B0000}"/>
    <cellStyle name="SAPBEXfilterText 2 2 2 5" xfId="10956" xr:uid="{00000000-0005-0000-0000-0000712B0000}"/>
    <cellStyle name="SAPBEXfilterText 2 2 2 6" xfId="10957" xr:uid="{00000000-0005-0000-0000-0000722B0000}"/>
    <cellStyle name="SAPBEXfilterText 2 2 3" xfId="10958" xr:uid="{00000000-0005-0000-0000-0000732B0000}"/>
    <cellStyle name="SAPBEXfilterText 2 2 3 2" xfId="10959" xr:uid="{00000000-0005-0000-0000-0000742B0000}"/>
    <cellStyle name="SAPBEXfilterText 2 2 3 3" xfId="10960" xr:uid="{00000000-0005-0000-0000-0000752B0000}"/>
    <cellStyle name="SAPBEXfilterText 2 2 3 4" xfId="10961" xr:uid="{00000000-0005-0000-0000-0000762B0000}"/>
    <cellStyle name="SAPBEXfilterText 2 2 3 5" xfId="10962" xr:uid="{00000000-0005-0000-0000-0000772B0000}"/>
    <cellStyle name="SAPBEXfilterText 2 2 3 6" xfId="10963" xr:uid="{00000000-0005-0000-0000-0000782B0000}"/>
    <cellStyle name="SAPBEXfilterText 2 2 4" xfId="10964" xr:uid="{00000000-0005-0000-0000-0000792B0000}"/>
    <cellStyle name="SAPBEXfilterText 2 2 4 2" xfId="10965" xr:uid="{00000000-0005-0000-0000-00007A2B0000}"/>
    <cellStyle name="SAPBEXfilterText 2 2 4 3" xfId="10966" xr:uid="{00000000-0005-0000-0000-00007B2B0000}"/>
    <cellStyle name="SAPBEXfilterText 2 2 4 4" xfId="10967" xr:uid="{00000000-0005-0000-0000-00007C2B0000}"/>
    <cellStyle name="SAPBEXfilterText 2 2 4 5" xfId="10968" xr:uid="{00000000-0005-0000-0000-00007D2B0000}"/>
    <cellStyle name="SAPBEXfilterText 2 2 4 6" xfId="10969" xr:uid="{00000000-0005-0000-0000-00007E2B0000}"/>
    <cellStyle name="SAPBEXfilterText 2 2 5" xfId="10970" xr:uid="{00000000-0005-0000-0000-00007F2B0000}"/>
    <cellStyle name="SAPBEXfilterText 2 2 5 2" xfId="10971" xr:uid="{00000000-0005-0000-0000-0000802B0000}"/>
    <cellStyle name="SAPBEXfilterText 2 2 5 3" xfId="10972" xr:uid="{00000000-0005-0000-0000-0000812B0000}"/>
    <cellStyle name="SAPBEXfilterText 2 2 5 4" xfId="10973" xr:uid="{00000000-0005-0000-0000-0000822B0000}"/>
    <cellStyle name="SAPBEXfilterText 2 2 5 5" xfId="10974" xr:uid="{00000000-0005-0000-0000-0000832B0000}"/>
    <cellStyle name="SAPBEXfilterText 2 2 5 6" xfId="10975" xr:uid="{00000000-0005-0000-0000-0000842B0000}"/>
    <cellStyle name="SAPBEXfilterText 2 3" xfId="10976" xr:uid="{00000000-0005-0000-0000-0000852B0000}"/>
    <cellStyle name="SAPBEXfilterText 2 3 2" xfId="10977" xr:uid="{00000000-0005-0000-0000-0000862B0000}"/>
    <cellStyle name="SAPBEXfilterText 2 3 2 2" xfId="10978" xr:uid="{00000000-0005-0000-0000-0000872B0000}"/>
    <cellStyle name="SAPBEXfilterText 2 3 2 3" xfId="10979" xr:uid="{00000000-0005-0000-0000-0000882B0000}"/>
    <cellStyle name="SAPBEXfilterText 2 3 2 4" xfId="10980" xr:uid="{00000000-0005-0000-0000-0000892B0000}"/>
    <cellStyle name="SAPBEXfilterText 2 3 2 5" xfId="10981" xr:uid="{00000000-0005-0000-0000-00008A2B0000}"/>
    <cellStyle name="SAPBEXfilterText 2 3 2 6" xfId="10982" xr:uid="{00000000-0005-0000-0000-00008B2B0000}"/>
    <cellStyle name="SAPBEXfilterText 2 3 3" xfId="10983" xr:uid="{00000000-0005-0000-0000-00008C2B0000}"/>
    <cellStyle name="SAPBEXfilterText 2 3 3 2" xfId="10984" xr:uid="{00000000-0005-0000-0000-00008D2B0000}"/>
    <cellStyle name="SAPBEXfilterText 2 3 3 3" xfId="10985" xr:uid="{00000000-0005-0000-0000-00008E2B0000}"/>
    <cellStyle name="SAPBEXfilterText 2 3 3 4" xfId="10986" xr:uid="{00000000-0005-0000-0000-00008F2B0000}"/>
    <cellStyle name="SAPBEXfilterText 2 3 3 5" xfId="10987" xr:uid="{00000000-0005-0000-0000-0000902B0000}"/>
    <cellStyle name="SAPBEXfilterText 2 3 3 6" xfId="10988" xr:uid="{00000000-0005-0000-0000-0000912B0000}"/>
    <cellStyle name="SAPBEXfilterText 2 3 4" xfId="10989" xr:uid="{00000000-0005-0000-0000-0000922B0000}"/>
    <cellStyle name="SAPBEXfilterText 2 3 4 2" xfId="10990" xr:uid="{00000000-0005-0000-0000-0000932B0000}"/>
    <cellStyle name="SAPBEXfilterText 2 3 4 3" xfId="10991" xr:uid="{00000000-0005-0000-0000-0000942B0000}"/>
    <cellStyle name="SAPBEXfilterText 2 3 4 4" xfId="10992" xr:uid="{00000000-0005-0000-0000-0000952B0000}"/>
    <cellStyle name="SAPBEXfilterText 2 3 4 5" xfId="10993" xr:uid="{00000000-0005-0000-0000-0000962B0000}"/>
    <cellStyle name="SAPBEXfilterText 2 3 4 6" xfId="10994" xr:uid="{00000000-0005-0000-0000-0000972B0000}"/>
    <cellStyle name="SAPBEXfilterText 2 3 5" xfId="10995" xr:uid="{00000000-0005-0000-0000-0000982B0000}"/>
    <cellStyle name="SAPBEXfilterText 2 3 5 2" xfId="10996" xr:uid="{00000000-0005-0000-0000-0000992B0000}"/>
    <cellStyle name="SAPBEXfilterText 2 3 5 3" xfId="10997" xr:uid="{00000000-0005-0000-0000-00009A2B0000}"/>
    <cellStyle name="SAPBEXfilterText 2 3 5 4" xfId="10998" xr:uid="{00000000-0005-0000-0000-00009B2B0000}"/>
    <cellStyle name="SAPBEXfilterText 2 3 5 5" xfId="10999" xr:uid="{00000000-0005-0000-0000-00009C2B0000}"/>
    <cellStyle name="SAPBEXfilterText 2 3 5 6" xfId="11000" xr:uid="{00000000-0005-0000-0000-00009D2B0000}"/>
    <cellStyle name="SAPBEXfilterText 2 4" xfId="11001" xr:uid="{00000000-0005-0000-0000-00009E2B0000}"/>
    <cellStyle name="SAPBEXfilterText 2 4 2" xfId="11002" xr:uid="{00000000-0005-0000-0000-00009F2B0000}"/>
    <cellStyle name="SAPBEXfilterText 2 4 2 2" xfId="11003" xr:uid="{00000000-0005-0000-0000-0000A02B0000}"/>
    <cellStyle name="SAPBEXfilterText 2 4 2 3" xfId="11004" xr:uid="{00000000-0005-0000-0000-0000A12B0000}"/>
    <cellStyle name="SAPBEXfilterText 2 4 2 4" xfId="11005" xr:uid="{00000000-0005-0000-0000-0000A22B0000}"/>
    <cellStyle name="SAPBEXfilterText 2 4 2 5" xfId="11006" xr:uid="{00000000-0005-0000-0000-0000A32B0000}"/>
    <cellStyle name="SAPBEXfilterText 2 4 2 6" xfId="11007" xr:uid="{00000000-0005-0000-0000-0000A42B0000}"/>
    <cellStyle name="SAPBEXfilterText 2 4 3" xfId="11008" xr:uid="{00000000-0005-0000-0000-0000A52B0000}"/>
    <cellStyle name="SAPBEXfilterText 2 4 3 2" xfId="11009" xr:uid="{00000000-0005-0000-0000-0000A62B0000}"/>
    <cellStyle name="SAPBEXfilterText 2 4 3 3" xfId="11010" xr:uid="{00000000-0005-0000-0000-0000A72B0000}"/>
    <cellStyle name="SAPBEXfilterText 2 4 3 4" xfId="11011" xr:uid="{00000000-0005-0000-0000-0000A82B0000}"/>
    <cellStyle name="SAPBEXfilterText 2 4 3 5" xfId="11012" xr:uid="{00000000-0005-0000-0000-0000A92B0000}"/>
    <cellStyle name="SAPBEXfilterText 2 4 3 6" xfId="11013" xr:uid="{00000000-0005-0000-0000-0000AA2B0000}"/>
    <cellStyle name="SAPBEXfilterText 2 4 4" xfId="11014" xr:uid="{00000000-0005-0000-0000-0000AB2B0000}"/>
    <cellStyle name="SAPBEXfilterText 2 4 4 2" xfId="11015" xr:uid="{00000000-0005-0000-0000-0000AC2B0000}"/>
    <cellStyle name="SAPBEXfilterText 2 4 4 3" xfId="11016" xr:uid="{00000000-0005-0000-0000-0000AD2B0000}"/>
    <cellStyle name="SAPBEXfilterText 2 4 4 4" xfId="11017" xr:uid="{00000000-0005-0000-0000-0000AE2B0000}"/>
    <cellStyle name="SAPBEXfilterText 2 4 4 5" xfId="11018" xr:uid="{00000000-0005-0000-0000-0000AF2B0000}"/>
    <cellStyle name="SAPBEXfilterText 2 4 4 6" xfId="11019" xr:uid="{00000000-0005-0000-0000-0000B02B0000}"/>
    <cellStyle name="SAPBEXfilterText 2 4 5" xfId="11020" xr:uid="{00000000-0005-0000-0000-0000B12B0000}"/>
    <cellStyle name="SAPBEXfilterText 2 4 5 2" xfId="11021" xr:uid="{00000000-0005-0000-0000-0000B22B0000}"/>
    <cellStyle name="SAPBEXfilterText 2 4 5 3" xfId="11022" xr:uid="{00000000-0005-0000-0000-0000B32B0000}"/>
    <cellStyle name="SAPBEXfilterText 2 4 5 4" xfId="11023" xr:uid="{00000000-0005-0000-0000-0000B42B0000}"/>
    <cellStyle name="SAPBEXfilterText 2 4 5 5" xfId="11024" xr:uid="{00000000-0005-0000-0000-0000B52B0000}"/>
    <cellStyle name="SAPBEXfilterText 2 4 5 6" xfId="11025" xr:uid="{00000000-0005-0000-0000-0000B62B0000}"/>
    <cellStyle name="SAPBEXfilterText 2 5" xfId="11026" xr:uid="{00000000-0005-0000-0000-0000B72B0000}"/>
    <cellStyle name="SAPBEXfilterText 2 6" xfId="11027" xr:uid="{00000000-0005-0000-0000-0000B82B0000}"/>
    <cellStyle name="SAPBEXfilterText 2 7" xfId="11028" xr:uid="{00000000-0005-0000-0000-0000B92B0000}"/>
    <cellStyle name="SAPBEXfilterText 2 8" xfId="11029" xr:uid="{00000000-0005-0000-0000-0000BA2B0000}"/>
    <cellStyle name="SAPBEXfilterText 2 9" xfId="11030" xr:uid="{00000000-0005-0000-0000-0000BB2B0000}"/>
    <cellStyle name="SAPBEXfilterText 20" xfId="11031" xr:uid="{00000000-0005-0000-0000-0000BC2B0000}"/>
    <cellStyle name="SAPBEXfilterText 20 2" xfId="11032" xr:uid="{00000000-0005-0000-0000-0000BD2B0000}"/>
    <cellStyle name="SAPBEXfilterText 20 3" xfId="11033" xr:uid="{00000000-0005-0000-0000-0000BE2B0000}"/>
    <cellStyle name="SAPBEXfilterText 20 4" xfId="11034" xr:uid="{00000000-0005-0000-0000-0000BF2B0000}"/>
    <cellStyle name="SAPBEXfilterText 20 5" xfId="11035" xr:uid="{00000000-0005-0000-0000-0000C02B0000}"/>
    <cellStyle name="SAPBEXfilterText 20 6" xfId="11036" xr:uid="{00000000-0005-0000-0000-0000C12B0000}"/>
    <cellStyle name="SAPBEXfilterText 21" xfId="11037" xr:uid="{00000000-0005-0000-0000-0000C22B0000}"/>
    <cellStyle name="SAPBEXfilterText 21 2" xfId="11038" xr:uid="{00000000-0005-0000-0000-0000C32B0000}"/>
    <cellStyle name="SAPBEXfilterText 21 3" xfId="11039" xr:uid="{00000000-0005-0000-0000-0000C42B0000}"/>
    <cellStyle name="SAPBEXfilterText 21 4" xfId="11040" xr:uid="{00000000-0005-0000-0000-0000C52B0000}"/>
    <cellStyle name="SAPBEXfilterText 21 5" xfId="11041" xr:uid="{00000000-0005-0000-0000-0000C62B0000}"/>
    <cellStyle name="SAPBEXfilterText 21 6" xfId="11042" xr:uid="{00000000-0005-0000-0000-0000C72B0000}"/>
    <cellStyle name="SAPBEXfilterText 22" xfId="11043" xr:uid="{00000000-0005-0000-0000-0000C82B0000}"/>
    <cellStyle name="SAPBEXfilterText 22 2" xfId="11044" xr:uid="{00000000-0005-0000-0000-0000C92B0000}"/>
    <cellStyle name="SAPBEXfilterText 22 3" xfId="11045" xr:uid="{00000000-0005-0000-0000-0000CA2B0000}"/>
    <cellStyle name="SAPBEXfilterText 22 4" xfId="11046" xr:uid="{00000000-0005-0000-0000-0000CB2B0000}"/>
    <cellStyle name="SAPBEXfilterText 22 5" xfId="11047" xr:uid="{00000000-0005-0000-0000-0000CC2B0000}"/>
    <cellStyle name="SAPBEXfilterText 22 6" xfId="11048" xr:uid="{00000000-0005-0000-0000-0000CD2B0000}"/>
    <cellStyle name="SAPBEXfilterText 23" xfId="11049" xr:uid="{00000000-0005-0000-0000-0000CE2B0000}"/>
    <cellStyle name="SAPBEXfilterText 23 2" xfId="11050" xr:uid="{00000000-0005-0000-0000-0000CF2B0000}"/>
    <cellStyle name="SAPBEXfilterText 23 3" xfId="11051" xr:uid="{00000000-0005-0000-0000-0000D02B0000}"/>
    <cellStyle name="SAPBEXfilterText 23 4" xfId="11052" xr:uid="{00000000-0005-0000-0000-0000D12B0000}"/>
    <cellStyle name="SAPBEXfilterText 23 5" xfId="11053" xr:uid="{00000000-0005-0000-0000-0000D22B0000}"/>
    <cellStyle name="SAPBEXfilterText 23 6" xfId="11054" xr:uid="{00000000-0005-0000-0000-0000D32B0000}"/>
    <cellStyle name="SAPBEXfilterText 24" xfId="11055" xr:uid="{00000000-0005-0000-0000-0000D42B0000}"/>
    <cellStyle name="SAPBEXfilterText 24 2" xfId="11056" xr:uid="{00000000-0005-0000-0000-0000D52B0000}"/>
    <cellStyle name="SAPBEXfilterText 24 3" xfId="11057" xr:uid="{00000000-0005-0000-0000-0000D62B0000}"/>
    <cellStyle name="SAPBEXfilterText 24 4" xfId="11058" xr:uid="{00000000-0005-0000-0000-0000D72B0000}"/>
    <cellStyle name="SAPBEXfilterText 24 5" xfId="11059" xr:uid="{00000000-0005-0000-0000-0000D82B0000}"/>
    <cellStyle name="SAPBEXfilterText 24 6" xfId="11060" xr:uid="{00000000-0005-0000-0000-0000D92B0000}"/>
    <cellStyle name="SAPBEXfilterText 25" xfId="11061" xr:uid="{00000000-0005-0000-0000-0000DA2B0000}"/>
    <cellStyle name="SAPBEXfilterText 25 2" xfId="11062" xr:uid="{00000000-0005-0000-0000-0000DB2B0000}"/>
    <cellStyle name="SAPBEXfilterText 25 3" xfId="11063" xr:uid="{00000000-0005-0000-0000-0000DC2B0000}"/>
    <cellStyle name="SAPBEXfilterText 25 4" xfId="11064" xr:uid="{00000000-0005-0000-0000-0000DD2B0000}"/>
    <cellStyle name="SAPBEXfilterText 25 5" xfId="11065" xr:uid="{00000000-0005-0000-0000-0000DE2B0000}"/>
    <cellStyle name="SAPBEXfilterText 25 6" xfId="11066" xr:uid="{00000000-0005-0000-0000-0000DF2B0000}"/>
    <cellStyle name="SAPBEXfilterText 26" xfId="11067" xr:uid="{00000000-0005-0000-0000-0000E02B0000}"/>
    <cellStyle name="SAPBEXfilterText 26 2" xfId="11068" xr:uid="{00000000-0005-0000-0000-0000E12B0000}"/>
    <cellStyle name="SAPBEXfilterText 26 3" xfId="11069" xr:uid="{00000000-0005-0000-0000-0000E22B0000}"/>
    <cellStyle name="SAPBEXfilterText 26 4" xfId="11070" xr:uid="{00000000-0005-0000-0000-0000E32B0000}"/>
    <cellStyle name="SAPBEXfilterText 26 5" xfId="11071" xr:uid="{00000000-0005-0000-0000-0000E42B0000}"/>
    <cellStyle name="SAPBEXfilterText 26 6" xfId="11072" xr:uid="{00000000-0005-0000-0000-0000E52B0000}"/>
    <cellStyle name="SAPBEXfilterText 27" xfId="11073" xr:uid="{00000000-0005-0000-0000-0000E62B0000}"/>
    <cellStyle name="SAPBEXfilterText 27 2" xfId="11074" xr:uid="{00000000-0005-0000-0000-0000E72B0000}"/>
    <cellStyle name="SAPBEXfilterText 27 3" xfId="11075" xr:uid="{00000000-0005-0000-0000-0000E82B0000}"/>
    <cellStyle name="SAPBEXfilterText 27 4" xfId="11076" xr:uid="{00000000-0005-0000-0000-0000E92B0000}"/>
    <cellStyle name="SAPBEXfilterText 27 5" xfId="11077" xr:uid="{00000000-0005-0000-0000-0000EA2B0000}"/>
    <cellStyle name="SAPBEXfilterText 27 6" xfId="11078" xr:uid="{00000000-0005-0000-0000-0000EB2B0000}"/>
    <cellStyle name="SAPBEXfilterText 28" xfId="11079" xr:uid="{00000000-0005-0000-0000-0000EC2B0000}"/>
    <cellStyle name="SAPBEXfilterText 28 2" xfId="11080" xr:uid="{00000000-0005-0000-0000-0000ED2B0000}"/>
    <cellStyle name="SAPBEXfilterText 28 3" xfId="11081" xr:uid="{00000000-0005-0000-0000-0000EE2B0000}"/>
    <cellStyle name="SAPBEXfilterText 28 4" xfId="11082" xr:uid="{00000000-0005-0000-0000-0000EF2B0000}"/>
    <cellStyle name="SAPBEXfilterText 28 5" xfId="11083" xr:uid="{00000000-0005-0000-0000-0000F02B0000}"/>
    <cellStyle name="SAPBEXfilterText 28 6" xfId="11084" xr:uid="{00000000-0005-0000-0000-0000F12B0000}"/>
    <cellStyle name="SAPBEXfilterText 29" xfId="11085" xr:uid="{00000000-0005-0000-0000-0000F22B0000}"/>
    <cellStyle name="SAPBEXfilterText 29 2" xfId="11086" xr:uid="{00000000-0005-0000-0000-0000F32B0000}"/>
    <cellStyle name="SAPBEXfilterText 29 3" xfId="11087" xr:uid="{00000000-0005-0000-0000-0000F42B0000}"/>
    <cellStyle name="SAPBEXfilterText 29 4" xfId="11088" xr:uid="{00000000-0005-0000-0000-0000F52B0000}"/>
    <cellStyle name="SAPBEXfilterText 29 5" xfId="11089" xr:uid="{00000000-0005-0000-0000-0000F62B0000}"/>
    <cellStyle name="SAPBEXfilterText 29 6" xfId="11090" xr:uid="{00000000-0005-0000-0000-0000F72B0000}"/>
    <cellStyle name="SAPBEXfilterText 3" xfId="11091" xr:uid="{00000000-0005-0000-0000-0000F82B0000}"/>
    <cellStyle name="SAPBEXfilterText 3 10" xfId="11092" xr:uid="{00000000-0005-0000-0000-0000F92B0000}"/>
    <cellStyle name="SAPBEXfilterText 3 11" xfId="11093" xr:uid="{00000000-0005-0000-0000-0000FA2B0000}"/>
    <cellStyle name="SAPBEXfilterText 3 12" xfId="11094" xr:uid="{00000000-0005-0000-0000-0000FB2B0000}"/>
    <cellStyle name="SAPBEXfilterText 3 2" xfId="11095" xr:uid="{00000000-0005-0000-0000-0000FC2B0000}"/>
    <cellStyle name="SAPBEXfilterText 3 2 2" xfId="11096" xr:uid="{00000000-0005-0000-0000-0000FD2B0000}"/>
    <cellStyle name="SAPBEXfilterText 3 2 2 2" xfId="11097" xr:uid="{00000000-0005-0000-0000-0000FE2B0000}"/>
    <cellStyle name="SAPBEXfilterText 3 2 2 3" xfId="11098" xr:uid="{00000000-0005-0000-0000-0000FF2B0000}"/>
    <cellStyle name="SAPBEXfilterText 3 2 2 4" xfId="11099" xr:uid="{00000000-0005-0000-0000-0000002C0000}"/>
    <cellStyle name="SAPBEXfilterText 3 2 2 5" xfId="11100" xr:uid="{00000000-0005-0000-0000-0000012C0000}"/>
    <cellStyle name="SAPBEXfilterText 3 2 2 6" xfId="11101" xr:uid="{00000000-0005-0000-0000-0000022C0000}"/>
    <cellStyle name="SAPBEXfilterText 3 2 3" xfId="11102" xr:uid="{00000000-0005-0000-0000-0000032C0000}"/>
    <cellStyle name="SAPBEXfilterText 3 2 3 2" xfId="11103" xr:uid="{00000000-0005-0000-0000-0000042C0000}"/>
    <cellStyle name="SAPBEXfilterText 3 2 3 3" xfId="11104" xr:uid="{00000000-0005-0000-0000-0000052C0000}"/>
    <cellStyle name="SAPBEXfilterText 3 2 3 4" xfId="11105" xr:uid="{00000000-0005-0000-0000-0000062C0000}"/>
    <cellStyle name="SAPBEXfilterText 3 2 3 5" xfId="11106" xr:uid="{00000000-0005-0000-0000-0000072C0000}"/>
    <cellStyle name="SAPBEXfilterText 3 2 3 6" xfId="11107" xr:uid="{00000000-0005-0000-0000-0000082C0000}"/>
    <cellStyle name="SAPBEXfilterText 3 2 4" xfId="11108" xr:uid="{00000000-0005-0000-0000-0000092C0000}"/>
    <cellStyle name="SAPBEXfilterText 3 2 4 2" xfId="11109" xr:uid="{00000000-0005-0000-0000-00000A2C0000}"/>
    <cellStyle name="SAPBEXfilterText 3 2 4 3" xfId="11110" xr:uid="{00000000-0005-0000-0000-00000B2C0000}"/>
    <cellStyle name="SAPBEXfilterText 3 2 4 4" xfId="11111" xr:uid="{00000000-0005-0000-0000-00000C2C0000}"/>
    <cellStyle name="SAPBEXfilterText 3 2 4 5" xfId="11112" xr:uid="{00000000-0005-0000-0000-00000D2C0000}"/>
    <cellStyle name="SAPBEXfilterText 3 2 4 6" xfId="11113" xr:uid="{00000000-0005-0000-0000-00000E2C0000}"/>
    <cellStyle name="SAPBEXfilterText 3 2 5" xfId="11114" xr:uid="{00000000-0005-0000-0000-00000F2C0000}"/>
    <cellStyle name="SAPBEXfilterText 3 2 5 2" xfId="11115" xr:uid="{00000000-0005-0000-0000-0000102C0000}"/>
    <cellStyle name="SAPBEXfilterText 3 2 5 3" xfId="11116" xr:uid="{00000000-0005-0000-0000-0000112C0000}"/>
    <cellStyle name="SAPBEXfilterText 3 2 5 4" xfId="11117" xr:uid="{00000000-0005-0000-0000-0000122C0000}"/>
    <cellStyle name="SAPBEXfilterText 3 2 5 5" xfId="11118" xr:uid="{00000000-0005-0000-0000-0000132C0000}"/>
    <cellStyle name="SAPBEXfilterText 3 2 5 6" xfId="11119" xr:uid="{00000000-0005-0000-0000-0000142C0000}"/>
    <cellStyle name="SAPBEXfilterText 3 3" xfId="11120" xr:uid="{00000000-0005-0000-0000-0000152C0000}"/>
    <cellStyle name="SAPBEXfilterText 3 3 2" xfId="11121" xr:uid="{00000000-0005-0000-0000-0000162C0000}"/>
    <cellStyle name="SAPBEXfilterText 3 3 3" xfId="11122" xr:uid="{00000000-0005-0000-0000-0000172C0000}"/>
    <cellStyle name="SAPBEXfilterText 3 3 4" xfId="11123" xr:uid="{00000000-0005-0000-0000-0000182C0000}"/>
    <cellStyle name="SAPBEXfilterText 3 3 5" xfId="11124" xr:uid="{00000000-0005-0000-0000-0000192C0000}"/>
    <cellStyle name="SAPBEXfilterText 3 3 6" xfId="11125" xr:uid="{00000000-0005-0000-0000-00001A2C0000}"/>
    <cellStyle name="SAPBEXfilterText 3 4" xfId="11126" xr:uid="{00000000-0005-0000-0000-00001B2C0000}"/>
    <cellStyle name="SAPBEXfilterText 3 4 2" xfId="11127" xr:uid="{00000000-0005-0000-0000-00001C2C0000}"/>
    <cellStyle name="SAPBEXfilterText 3 4 3" xfId="11128" xr:uid="{00000000-0005-0000-0000-00001D2C0000}"/>
    <cellStyle name="SAPBEXfilterText 3 4 4" xfId="11129" xr:uid="{00000000-0005-0000-0000-00001E2C0000}"/>
    <cellStyle name="SAPBEXfilterText 3 4 5" xfId="11130" xr:uid="{00000000-0005-0000-0000-00001F2C0000}"/>
    <cellStyle name="SAPBEXfilterText 3 4 6" xfId="11131" xr:uid="{00000000-0005-0000-0000-0000202C0000}"/>
    <cellStyle name="SAPBEXfilterText 3 5" xfId="11132" xr:uid="{00000000-0005-0000-0000-0000212C0000}"/>
    <cellStyle name="SAPBEXfilterText 3 6" xfId="11133" xr:uid="{00000000-0005-0000-0000-0000222C0000}"/>
    <cellStyle name="SAPBEXfilterText 3 7" xfId="11134" xr:uid="{00000000-0005-0000-0000-0000232C0000}"/>
    <cellStyle name="SAPBEXfilterText 3 8" xfId="11135" xr:uid="{00000000-0005-0000-0000-0000242C0000}"/>
    <cellStyle name="SAPBEXfilterText 3 9" xfId="11136" xr:uid="{00000000-0005-0000-0000-0000252C0000}"/>
    <cellStyle name="SAPBEXfilterText 30" xfId="11137" xr:uid="{00000000-0005-0000-0000-0000262C0000}"/>
    <cellStyle name="SAPBEXfilterText 30 2" xfId="11138" xr:uid="{00000000-0005-0000-0000-0000272C0000}"/>
    <cellStyle name="SAPBEXfilterText 30 3" xfId="11139" xr:uid="{00000000-0005-0000-0000-0000282C0000}"/>
    <cellStyle name="SAPBEXfilterText 30 4" xfId="11140" xr:uid="{00000000-0005-0000-0000-0000292C0000}"/>
    <cellStyle name="SAPBEXfilterText 30 5" xfId="11141" xr:uid="{00000000-0005-0000-0000-00002A2C0000}"/>
    <cellStyle name="SAPBEXfilterText 30 6" xfId="11142" xr:uid="{00000000-0005-0000-0000-00002B2C0000}"/>
    <cellStyle name="SAPBEXfilterText 31" xfId="11143" xr:uid="{00000000-0005-0000-0000-00002C2C0000}"/>
    <cellStyle name="SAPBEXfilterText 31 2" xfId="11144" xr:uid="{00000000-0005-0000-0000-00002D2C0000}"/>
    <cellStyle name="SAPBEXfilterText 31 3" xfId="11145" xr:uid="{00000000-0005-0000-0000-00002E2C0000}"/>
    <cellStyle name="SAPBEXfilterText 31 4" xfId="11146" xr:uid="{00000000-0005-0000-0000-00002F2C0000}"/>
    <cellStyle name="SAPBEXfilterText 31 5" xfId="11147" xr:uid="{00000000-0005-0000-0000-0000302C0000}"/>
    <cellStyle name="SAPBEXfilterText 31 6" xfId="11148" xr:uid="{00000000-0005-0000-0000-0000312C0000}"/>
    <cellStyle name="SAPBEXfilterText 32" xfId="11149" xr:uid="{00000000-0005-0000-0000-0000322C0000}"/>
    <cellStyle name="SAPBEXfilterText 32 2" xfId="11150" xr:uid="{00000000-0005-0000-0000-0000332C0000}"/>
    <cellStyle name="SAPBEXfilterText 32 3" xfId="11151" xr:uid="{00000000-0005-0000-0000-0000342C0000}"/>
    <cellStyle name="SAPBEXfilterText 32 4" xfId="11152" xr:uid="{00000000-0005-0000-0000-0000352C0000}"/>
    <cellStyle name="SAPBEXfilterText 32 5" xfId="11153" xr:uid="{00000000-0005-0000-0000-0000362C0000}"/>
    <cellStyle name="SAPBEXfilterText 32 6" xfId="11154" xr:uid="{00000000-0005-0000-0000-0000372C0000}"/>
    <cellStyle name="SAPBEXfilterText 33" xfId="11155" xr:uid="{00000000-0005-0000-0000-0000382C0000}"/>
    <cellStyle name="SAPBEXfilterText 34" xfId="27819" xr:uid="{00000000-0005-0000-0000-0000392C0000}"/>
    <cellStyle name="SAPBEXfilterText 35" xfId="27918" xr:uid="{00000000-0005-0000-0000-00003A2C0000}"/>
    <cellStyle name="SAPBEXfilterText 36" xfId="28018" xr:uid="{00000000-0005-0000-0000-00003B2C0000}"/>
    <cellStyle name="SAPBEXfilterText 4" xfId="11156" xr:uid="{00000000-0005-0000-0000-00003C2C0000}"/>
    <cellStyle name="SAPBEXfilterText 4 2" xfId="11157" xr:uid="{00000000-0005-0000-0000-00003D2C0000}"/>
    <cellStyle name="SAPBEXfilterText 4 3" xfId="11158" xr:uid="{00000000-0005-0000-0000-00003E2C0000}"/>
    <cellStyle name="SAPBEXfilterText 4 4" xfId="11159" xr:uid="{00000000-0005-0000-0000-00003F2C0000}"/>
    <cellStyle name="SAPBEXfilterText 4 5" xfId="11160" xr:uid="{00000000-0005-0000-0000-0000402C0000}"/>
    <cellStyle name="SAPBEXfilterText 4 6" xfId="11161" xr:uid="{00000000-0005-0000-0000-0000412C0000}"/>
    <cellStyle name="SAPBEXfilterText 5" xfId="11162" xr:uid="{00000000-0005-0000-0000-0000422C0000}"/>
    <cellStyle name="SAPBEXfilterText 5 2" xfId="11163" xr:uid="{00000000-0005-0000-0000-0000432C0000}"/>
    <cellStyle name="SAPBEXfilterText 5 3" xfId="11164" xr:uid="{00000000-0005-0000-0000-0000442C0000}"/>
    <cellStyle name="SAPBEXfilterText 5 4" xfId="11165" xr:uid="{00000000-0005-0000-0000-0000452C0000}"/>
    <cellStyle name="SAPBEXfilterText 5 5" xfId="11166" xr:uid="{00000000-0005-0000-0000-0000462C0000}"/>
    <cellStyle name="SAPBEXfilterText 5 6" xfId="11167" xr:uid="{00000000-0005-0000-0000-0000472C0000}"/>
    <cellStyle name="SAPBEXfilterText 6" xfId="11168" xr:uid="{00000000-0005-0000-0000-0000482C0000}"/>
    <cellStyle name="SAPBEXfilterText 6 10" xfId="11169" xr:uid="{00000000-0005-0000-0000-0000492C0000}"/>
    <cellStyle name="SAPBEXfilterText 6 2" xfId="11170" xr:uid="{00000000-0005-0000-0000-00004A2C0000}"/>
    <cellStyle name="SAPBEXfilterText 6 3" xfId="11171" xr:uid="{00000000-0005-0000-0000-00004B2C0000}"/>
    <cellStyle name="SAPBEXfilterText 6 4" xfId="11172" xr:uid="{00000000-0005-0000-0000-00004C2C0000}"/>
    <cellStyle name="SAPBEXfilterText 6 5" xfId="11173" xr:uid="{00000000-0005-0000-0000-00004D2C0000}"/>
    <cellStyle name="SAPBEXfilterText 6 6" xfId="11174" xr:uid="{00000000-0005-0000-0000-00004E2C0000}"/>
    <cellStyle name="SAPBEXfilterText 6 7" xfId="11175" xr:uid="{00000000-0005-0000-0000-00004F2C0000}"/>
    <cellStyle name="SAPBEXfilterText 6 8" xfId="11176" xr:uid="{00000000-0005-0000-0000-0000502C0000}"/>
    <cellStyle name="SAPBEXfilterText 6 9" xfId="11177" xr:uid="{00000000-0005-0000-0000-0000512C0000}"/>
    <cellStyle name="SAPBEXfilterText 7" xfId="11178" xr:uid="{00000000-0005-0000-0000-0000522C0000}"/>
    <cellStyle name="SAPBEXfilterText 7 10" xfId="11179" xr:uid="{00000000-0005-0000-0000-0000532C0000}"/>
    <cellStyle name="SAPBEXfilterText 7 2" xfId="11180" xr:uid="{00000000-0005-0000-0000-0000542C0000}"/>
    <cellStyle name="SAPBEXfilterText 7 3" xfId="11181" xr:uid="{00000000-0005-0000-0000-0000552C0000}"/>
    <cellStyle name="SAPBEXfilterText 7 4" xfId="11182" xr:uid="{00000000-0005-0000-0000-0000562C0000}"/>
    <cellStyle name="SAPBEXfilterText 7 5" xfId="11183" xr:uid="{00000000-0005-0000-0000-0000572C0000}"/>
    <cellStyle name="SAPBEXfilterText 7 6" xfId="11184" xr:uid="{00000000-0005-0000-0000-0000582C0000}"/>
    <cellStyle name="SAPBEXfilterText 7 7" xfId="11185" xr:uid="{00000000-0005-0000-0000-0000592C0000}"/>
    <cellStyle name="SAPBEXfilterText 7 8" xfId="11186" xr:uid="{00000000-0005-0000-0000-00005A2C0000}"/>
    <cellStyle name="SAPBEXfilterText 7 9" xfId="11187" xr:uid="{00000000-0005-0000-0000-00005B2C0000}"/>
    <cellStyle name="SAPBEXfilterText 8" xfId="11188" xr:uid="{00000000-0005-0000-0000-00005C2C0000}"/>
    <cellStyle name="SAPBEXfilterText 8 2" xfId="11189" xr:uid="{00000000-0005-0000-0000-00005D2C0000}"/>
    <cellStyle name="SAPBEXfilterText 8 3" xfId="11190" xr:uid="{00000000-0005-0000-0000-00005E2C0000}"/>
    <cellStyle name="SAPBEXfilterText 8 4" xfId="11191" xr:uid="{00000000-0005-0000-0000-00005F2C0000}"/>
    <cellStyle name="SAPBEXfilterText 8 5" xfId="11192" xr:uid="{00000000-0005-0000-0000-0000602C0000}"/>
    <cellStyle name="SAPBEXfilterText 8 6" xfId="11193" xr:uid="{00000000-0005-0000-0000-0000612C0000}"/>
    <cellStyle name="SAPBEXfilterText 9" xfId="11194" xr:uid="{00000000-0005-0000-0000-0000622C0000}"/>
    <cellStyle name="SAPBEXfilterText 9 2" xfId="11195" xr:uid="{00000000-0005-0000-0000-0000632C0000}"/>
    <cellStyle name="SAPBEXfilterText 9 3" xfId="11196" xr:uid="{00000000-0005-0000-0000-0000642C0000}"/>
    <cellStyle name="SAPBEXfilterText 9 4" xfId="11197" xr:uid="{00000000-0005-0000-0000-0000652C0000}"/>
    <cellStyle name="SAPBEXfilterText 9 5" xfId="11198" xr:uid="{00000000-0005-0000-0000-0000662C0000}"/>
    <cellStyle name="SAPBEXfilterText 9 6" xfId="11199" xr:uid="{00000000-0005-0000-0000-0000672C0000}"/>
    <cellStyle name="SAPBEXfilterText_CF 2009 by month 2009 1-5 actual 18 06 2009 (5)" xfId="11200" xr:uid="{00000000-0005-0000-0000-0000682C0000}"/>
    <cellStyle name="SAPBEXformats" xfId="11201" xr:uid="{00000000-0005-0000-0000-0000692C0000}"/>
    <cellStyle name="SAPBEXformats 10" xfId="11202" xr:uid="{00000000-0005-0000-0000-00006A2C0000}"/>
    <cellStyle name="SAPBEXformats 10 2" xfId="11203" xr:uid="{00000000-0005-0000-0000-00006B2C0000}"/>
    <cellStyle name="SAPBEXformats 10 3" xfId="11204" xr:uid="{00000000-0005-0000-0000-00006C2C0000}"/>
    <cellStyle name="SAPBEXformats 10 4" xfId="11205" xr:uid="{00000000-0005-0000-0000-00006D2C0000}"/>
    <cellStyle name="SAPBEXformats 10 5" xfId="11206" xr:uid="{00000000-0005-0000-0000-00006E2C0000}"/>
    <cellStyle name="SAPBEXformats 10 6" xfId="11207" xr:uid="{00000000-0005-0000-0000-00006F2C0000}"/>
    <cellStyle name="SAPBEXformats 11" xfId="11208" xr:uid="{00000000-0005-0000-0000-0000702C0000}"/>
    <cellStyle name="SAPBEXformats 11 2" xfId="11209" xr:uid="{00000000-0005-0000-0000-0000712C0000}"/>
    <cellStyle name="SAPBEXformats 11 3" xfId="11210" xr:uid="{00000000-0005-0000-0000-0000722C0000}"/>
    <cellStyle name="SAPBEXformats 11 4" xfId="11211" xr:uid="{00000000-0005-0000-0000-0000732C0000}"/>
    <cellStyle name="SAPBEXformats 11 5" xfId="11212" xr:uid="{00000000-0005-0000-0000-0000742C0000}"/>
    <cellStyle name="SAPBEXformats 11 6" xfId="11213" xr:uid="{00000000-0005-0000-0000-0000752C0000}"/>
    <cellStyle name="SAPBEXformats 12" xfId="11214" xr:uid="{00000000-0005-0000-0000-0000762C0000}"/>
    <cellStyle name="SAPBEXformats 12 2" xfId="11215" xr:uid="{00000000-0005-0000-0000-0000772C0000}"/>
    <cellStyle name="SAPBEXformats 12 3" xfId="11216" xr:uid="{00000000-0005-0000-0000-0000782C0000}"/>
    <cellStyle name="SAPBEXformats 12 4" xfId="11217" xr:uid="{00000000-0005-0000-0000-0000792C0000}"/>
    <cellStyle name="SAPBEXformats 12 5" xfId="11218" xr:uid="{00000000-0005-0000-0000-00007A2C0000}"/>
    <cellStyle name="SAPBEXformats 12 6" xfId="11219" xr:uid="{00000000-0005-0000-0000-00007B2C0000}"/>
    <cellStyle name="SAPBEXformats 13" xfId="11220" xr:uid="{00000000-0005-0000-0000-00007C2C0000}"/>
    <cellStyle name="SAPBEXformats 13 2" xfId="11221" xr:uid="{00000000-0005-0000-0000-00007D2C0000}"/>
    <cellStyle name="SAPBEXformats 13 3" xfId="11222" xr:uid="{00000000-0005-0000-0000-00007E2C0000}"/>
    <cellStyle name="SAPBEXformats 13 4" xfId="11223" xr:uid="{00000000-0005-0000-0000-00007F2C0000}"/>
    <cellStyle name="SAPBEXformats 13 5" xfId="11224" xr:uid="{00000000-0005-0000-0000-0000802C0000}"/>
    <cellStyle name="SAPBEXformats 13 6" xfId="11225" xr:uid="{00000000-0005-0000-0000-0000812C0000}"/>
    <cellStyle name="SAPBEXformats 14" xfId="11226" xr:uid="{00000000-0005-0000-0000-0000822C0000}"/>
    <cellStyle name="SAPBEXformats 14 2" xfId="11227" xr:uid="{00000000-0005-0000-0000-0000832C0000}"/>
    <cellStyle name="SAPBEXformats 14 3" xfId="11228" xr:uid="{00000000-0005-0000-0000-0000842C0000}"/>
    <cellStyle name="SAPBEXformats 14 4" xfId="11229" xr:uid="{00000000-0005-0000-0000-0000852C0000}"/>
    <cellStyle name="SAPBEXformats 14 5" xfId="11230" xr:uid="{00000000-0005-0000-0000-0000862C0000}"/>
    <cellStyle name="SAPBEXformats 14 6" xfId="11231" xr:uid="{00000000-0005-0000-0000-0000872C0000}"/>
    <cellStyle name="SAPBEXformats 15" xfId="11232" xr:uid="{00000000-0005-0000-0000-0000882C0000}"/>
    <cellStyle name="SAPBEXformats 15 2" xfId="11233" xr:uid="{00000000-0005-0000-0000-0000892C0000}"/>
    <cellStyle name="SAPBEXformats 15 3" xfId="11234" xr:uid="{00000000-0005-0000-0000-00008A2C0000}"/>
    <cellStyle name="SAPBEXformats 15 4" xfId="11235" xr:uid="{00000000-0005-0000-0000-00008B2C0000}"/>
    <cellStyle name="SAPBEXformats 15 5" xfId="11236" xr:uid="{00000000-0005-0000-0000-00008C2C0000}"/>
    <cellStyle name="SAPBEXformats 15 6" xfId="11237" xr:uid="{00000000-0005-0000-0000-00008D2C0000}"/>
    <cellStyle name="SAPBEXformats 16" xfId="11238" xr:uid="{00000000-0005-0000-0000-00008E2C0000}"/>
    <cellStyle name="SAPBEXformats 16 2" xfId="11239" xr:uid="{00000000-0005-0000-0000-00008F2C0000}"/>
    <cellStyle name="SAPBEXformats 16 3" xfId="11240" xr:uid="{00000000-0005-0000-0000-0000902C0000}"/>
    <cellStyle name="SAPBEXformats 16 4" xfId="11241" xr:uid="{00000000-0005-0000-0000-0000912C0000}"/>
    <cellStyle name="SAPBEXformats 16 5" xfId="11242" xr:uid="{00000000-0005-0000-0000-0000922C0000}"/>
    <cellStyle name="SAPBEXformats 16 6" xfId="11243" xr:uid="{00000000-0005-0000-0000-0000932C0000}"/>
    <cellStyle name="SAPBEXformats 17" xfId="11244" xr:uid="{00000000-0005-0000-0000-0000942C0000}"/>
    <cellStyle name="SAPBEXformats 17 2" xfId="11245" xr:uid="{00000000-0005-0000-0000-0000952C0000}"/>
    <cellStyle name="SAPBEXformats 17 3" xfId="11246" xr:uid="{00000000-0005-0000-0000-0000962C0000}"/>
    <cellStyle name="SAPBEXformats 17 4" xfId="11247" xr:uid="{00000000-0005-0000-0000-0000972C0000}"/>
    <cellStyle name="SAPBEXformats 17 5" xfId="11248" xr:uid="{00000000-0005-0000-0000-0000982C0000}"/>
    <cellStyle name="SAPBEXformats 17 6" xfId="11249" xr:uid="{00000000-0005-0000-0000-0000992C0000}"/>
    <cellStyle name="SAPBEXformats 18" xfId="11250" xr:uid="{00000000-0005-0000-0000-00009A2C0000}"/>
    <cellStyle name="SAPBEXformats 18 2" xfId="11251" xr:uid="{00000000-0005-0000-0000-00009B2C0000}"/>
    <cellStyle name="SAPBEXformats 18 3" xfId="11252" xr:uid="{00000000-0005-0000-0000-00009C2C0000}"/>
    <cellStyle name="SAPBEXformats 18 4" xfId="11253" xr:uid="{00000000-0005-0000-0000-00009D2C0000}"/>
    <cellStyle name="SAPBEXformats 18 5" xfId="11254" xr:uid="{00000000-0005-0000-0000-00009E2C0000}"/>
    <cellStyle name="SAPBEXformats 18 6" xfId="11255" xr:uid="{00000000-0005-0000-0000-00009F2C0000}"/>
    <cellStyle name="SAPBEXformats 19" xfId="11256" xr:uid="{00000000-0005-0000-0000-0000A02C0000}"/>
    <cellStyle name="SAPBEXformats 19 2" xfId="11257" xr:uid="{00000000-0005-0000-0000-0000A12C0000}"/>
    <cellStyle name="SAPBEXformats 19 3" xfId="11258" xr:uid="{00000000-0005-0000-0000-0000A22C0000}"/>
    <cellStyle name="SAPBEXformats 19 4" xfId="11259" xr:uid="{00000000-0005-0000-0000-0000A32C0000}"/>
    <cellStyle name="SAPBEXformats 19 5" xfId="11260" xr:uid="{00000000-0005-0000-0000-0000A42C0000}"/>
    <cellStyle name="SAPBEXformats 19 6" xfId="11261" xr:uid="{00000000-0005-0000-0000-0000A52C0000}"/>
    <cellStyle name="SAPBEXformats 2" xfId="11262" xr:uid="{00000000-0005-0000-0000-0000A62C0000}"/>
    <cellStyle name="SAPBEXformats 2 10" xfId="11263" xr:uid="{00000000-0005-0000-0000-0000A72C0000}"/>
    <cellStyle name="SAPBEXformats 2 10 2" xfId="11264" xr:uid="{00000000-0005-0000-0000-0000A82C0000}"/>
    <cellStyle name="SAPBEXformats 2 10 3" xfId="11265" xr:uid="{00000000-0005-0000-0000-0000A92C0000}"/>
    <cellStyle name="SAPBEXformats 2 10 4" xfId="11266" xr:uid="{00000000-0005-0000-0000-0000AA2C0000}"/>
    <cellStyle name="SAPBEXformats 2 11" xfId="11267" xr:uid="{00000000-0005-0000-0000-0000AB2C0000}"/>
    <cellStyle name="SAPBEXformats 2 11 2" xfId="11268" xr:uid="{00000000-0005-0000-0000-0000AC2C0000}"/>
    <cellStyle name="SAPBEXformats 2 11 3" xfId="11269" xr:uid="{00000000-0005-0000-0000-0000AD2C0000}"/>
    <cellStyle name="SAPBEXformats 2 11 4" xfId="11270" xr:uid="{00000000-0005-0000-0000-0000AE2C0000}"/>
    <cellStyle name="SAPBEXformats 2 12" xfId="11271" xr:uid="{00000000-0005-0000-0000-0000AF2C0000}"/>
    <cellStyle name="SAPBEXformats 2 12 2" xfId="11272" xr:uid="{00000000-0005-0000-0000-0000B02C0000}"/>
    <cellStyle name="SAPBEXformats 2 12 3" xfId="11273" xr:uid="{00000000-0005-0000-0000-0000B12C0000}"/>
    <cellStyle name="SAPBEXformats 2 12 4" xfId="11274" xr:uid="{00000000-0005-0000-0000-0000B22C0000}"/>
    <cellStyle name="SAPBEXformats 2 13" xfId="11275" xr:uid="{00000000-0005-0000-0000-0000B32C0000}"/>
    <cellStyle name="SAPBEXformats 2 13 2" xfId="11276" xr:uid="{00000000-0005-0000-0000-0000B42C0000}"/>
    <cellStyle name="SAPBEXformats 2 13 3" xfId="11277" xr:uid="{00000000-0005-0000-0000-0000B52C0000}"/>
    <cellStyle name="SAPBEXformats 2 13 4" xfId="11278" xr:uid="{00000000-0005-0000-0000-0000B62C0000}"/>
    <cellStyle name="SAPBEXformats 2 14" xfId="11279" xr:uid="{00000000-0005-0000-0000-0000B72C0000}"/>
    <cellStyle name="SAPBEXformats 2 15" xfId="11280" xr:uid="{00000000-0005-0000-0000-0000B82C0000}"/>
    <cellStyle name="SAPBEXformats 2 16" xfId="11281" xr:uid="{00000000-0005-0000-0000-0000B92C0000}"/>
    <cellStyle name="SAPBEXformats 2 17" xfId="11282" xr:uid="{00000000-0005-0000-0000-0000BA2C0000}"/>
    <cellStyle name="SAPBEXformats 2 18" xfId="11283" xr:uid="{00000000-0005-0000-0000-0000BB2C0000}"/>
    <cellStyle name="SAPBEXformats 2 2" xfId="11284" xr:uid="{00000000-0005-0000-0000-0000BC2C0000}"/>
    <cellStyle name="SAPBEXformats 2 2 2" xfId="11285" xr:uid="{00000000-0005-0000-0000-0000BD2C0000}"/>
    <cellStyle name="SAPBEXformats 2 2 2 2" xfId="11286" xr:uid="{00000000-0005-0000-0000-0000BE2C0000}"/>
    <cellStyle name="SAPBEXformats 2 2 2 3" xfId="11287" xr:uid="{00000000-0005-0000-0000-0000BF2C0000}"/>
    <cellStyle name="SAPBEXformats 2 2 2 4" xfId="11288" xr:uid="{00000000-0005-0000-0000-0000C02C0000}"/>
    <cellStyle name="SAPBEXformats 2 2 2 5" xfId="11289" xr:uid="{00000000-0005-0000-0000-0000C12C0000}"/>
    <cellStyle name="SAPBEXformats 2 2 2 6" xfId="11290" xr:uid="{00000000-0005-0000-0000-0000C22C0000}"/>
    <cellStyle name="SAPBEXformats 2 2 3" xfId="11291" xr:uid="{00000000-0005-0000-0000-0000C32C0000}"/>
    <cellStyle name="SAPBEXformats 2 2 3 2" xfId="11292" xr:uid="{00000000-0005-0000-0000-0000C42C0000}"/>
    <cellStyle name="SAPBEXformats 2 2 3 3" xfId="11293" xr:uid="{00000000-0005-0000-0000-0000C52C0000}"/>
    <cellStyle name="SAPBEXformats 2 2 3 4" xfId="11294" xr:uid="{00000000-0005-0000-0000-0000C62C0000}"/>
    <cellStyle name="SAPBEXformats 2 2 3 5" xfId="11295" xr:uid="{00000000-0005-0000-0000-0000C72C0000}"/>
    <cellStyle name="SAPBEXformats 2 2 3 6" xfId="11296" xr:uid="{00000000-0005-0000-0000-0000C82C0000}"/>
    <cellStyle name="SAPBEXformats 2 2 4" xfId="11297" xr:uid="{00000000-0005-0000-0000-0000C92C0000}"/>
    <cellStyle name="SAPBEXformats 2 2 4 2" xfId="11298" xr:uid="{00000000-0005-0000-0000-0000CA2C0000}"/>
    <cellStyle name="SAPBEXformats 2 2 4 3" xfId="11299" xr:uid="{00000000-0005-0000-0000-0000CB2C0000}"/>
    <cellStyle name="SAPBEXformats 2 2 4 4" xfId="11300" xr:uid="{00000000-0005-0000-0000-0000CC2C0000}"/>
    <cellStyle name="SAPBEXformats 2 2 4 5" xfId="11301" xr:uid="{00000000-0005-0000-0000-0000CD2C0000}"/>
    <cellStyle name="SAPBEXformats 2 2 4 6" xfId="11302" xr:uid="{00000000-0005-0000-0000-0000CE2C0000}"/>
    <cellStyle name="SAPBEXformats 2 2 5" xfId="11303" xr:uid="{00000000-0005-0000-0000-0000CF2C0000}"/>
    <cellStyle name="SAPBEXformats 2 2 5 2" xfId="11304" xr:uid="{00000000-0005-0000-0000-0000D02C0000}"/>
    <cellStyle name="SAPBEXformats 2 2 5 3" xfId="11305" xr:uid="{00000000-0005-0000-0000-0000D12C0000}"/>
    <cellStyle name="SAPBEXformats 2 2 5 4" xfId="11306" xr:uid="{00000000-0005-0000-0000-0000D22C0000}"/>
    <cellStyle name="SAPBEXformats 2 2 5 5" xfId="11307" xr:uid="{00000000-0005-0000-0000-0000D32C0000}"/>
    <cellStyle name="SAPBEXformats 2 2 5 6" xfId="11308" xr:uid="{00000000-0005-0000-0000-0000D42C0000}"/>
    <cellStyle name="SAPBEXformats 2 2 6" xfId="11309" xr:uid="{00000000-0005-0000-0000-0000D52C0000}"/>
    <cellStyle name="SAPBEXformats 2 2 7" xfId="11310" xr:uid="{00000000-0005-0000-0000-0000D62C0000}"/>
    <cellStyle name="SAPBEXformats 2 2 8" xfId="11311" xr:uid="{00000000-0005-0000-0000-0000D72C0000}"/>
    <cellStyle name="SAPBEXformats 2 3" xfId="11312" xr:uid="{00000000-0005-0000-0000-0000D82C0000}"/>
    <cellStyle name="SAPBEXformats 2 3 2" xfId="11313" xr:uid="{00000000-0005-0000-0000-0000D92C0000}"/>
    <cellStyle name="SAPBEXformats 2 3 2 2" xfId="11314" xr:uid="{00000000-0005-0000-0000-0000DA2C0000}"/>
    <cellStyle name="SAPBEXformats 2 3 2 3" xfId="11315" xr:uid="{00000000-0005-0000-0000-0000DB2C0000}"/>
    <cellStyle name="SAPBEXformats 2 3 2 4" xfId="11316" xr:uid="{00000000-0005-0000-0000-0000DC2C0000}"/>
    <cellStyle name="SAPBEXformats 2 3 2 5" xfId="11317" xr:uid="{00000000-0005-0000-0000-0000DD2C0000}"/>
    <cellStyle name="SAPBEXformats 2 3 2 6" xfId="11318" xr:uid="{00000000-0005-0000-0000-0000DE2C0000}"/>
    <cellStyle name="SAPBEXformats 2 3 3" xfId="11319" xr:uid="{00000000-0005-0000-0000-0000DF2C0000}"/>
    <cellStyle name="SAPBEXformats 2 3 3 2" xfId="11320" xr:uid="{00000000-0005-0000-0000-0000E02C0000}"/>
    <cellStyle name="SAPBEXformats 2 3 3 3" xfId="11321" xr:uid="{00000000-0005-0000-0000-0000E12C0000}"/>
    <cellStyle name="SAPBEXformats 2 3 3 4" xfId="11322" xr:uid="{00000000-0005-0000-0000-0000E22C0000}"/>
    <cellStyle name="SAPBEXformats 2 3 3 5" xfId="11323" xr:uid="{00000000-0005-0000-0000-0000E32C0000}"/>
    <cellStyle name="SAPBEXformats 2 3 3 6" xfId="11324" xr:uid="{00000000-0005-0000-0000-0000E42C0000}"/>
    <cellStyle name="SAPBEXformats 2 3 4" xfId="11325" xr:uid="{00000000-0005-0000-0000-0000E52C0000}"/>
    <cellStyle name="SAPBEXformats 2 3 4 2" xfId="11326" xr:uid="{00000000-0005-0000-0000-0000E62C0000}"/>
    <cellStyle name="SAPBEXformats 2 3 4 3" xfId="11327" xr:uid="{00000000-0005-0000-0000-0000E72C0000}"/>
    <cellStyle name="SAPBEXformats 2 3 4 4" xfId="11328" xr:uid="{00000000-0005-0000-0000-0000E82C0000}"/>
    <cellStyle name="SAPBEXformats 2 3 4 5" xfId="11329" xr:uid="{00000000-0005-0000-0000-0000E92C0000}"/>
    <cellStyle name="SAPBEXformats 2 3 4 6" xfId="11330" xr:uid="{00000000-0005-0000-0000-0000EA2C0000}"/>
    <cellStyle name="SAPBEXformats 2 3 5" xfId="11331" xr:uid="{00000000-0005-0000-0000-0000EB2C0000}"/>
    <cellStyle name="SAPBEXformats 2 3 5 2" xfId="11332" xr:uid="{00000000-0005-0000-0000-0000EC2C0000}"/>
    <cellStyle name="SAPBEXformats 2 3 5 3" xfId="11333" xr:uid="{00000000-0005-0000-0000-0000ED2C0000}"/>
    <cellStyle name="SAPBEXformats 2 3 5 4" xfId="11334" xr:uid="{00000000-0005-0000-0000-0000EE2C0000}"/>
    <cellStyle name="SAPBEXformats 2 3 5 5" xfId="11335" xr:uid="{00000000-0005-0000-0000-0000EF2C0000}"/>
    <cellStyle name="SAPBEXformats 2 3 5 6" xfId="11336" xr:uid="{00000000-0005-0000-0000-0000F02C0000}"/>
    <cellStyle name="SAPBEXformats 2 3 6" xfId="11337" xr:uid="{00000000-0005-0000-0000-0000F12C0000}"/>
    <cellStyle name="SAPBEXformats 2 3 7" xfId="11338" xr:uid="{00000000-0005-0000-0000-0000F22C0000}"/>
    <cellStyle name="SAPBEXformats 2 3 8" xfId="11339" xr:uid="{00000000-0005-0000-0000-0000F32C0000}"/>
    <cellStyle name="SAPBEXformats 2 4" xfId="11340" xr:uid="{00000000-0005-0000-0000-0000F42C0000}"/>
    <cellStyle name="SAPBEXformats 2 4 2" xfId="11341" xr:uid="{00000000-0005-0000-0000-0000F52C0000}"/>
    <cellStyle name="SAPBEXformats 2 4 2 2" xfId="11342" xr:uid="{00000000-0005-0000-0000-0000F62C0000}"/>
    <cellStyle name="SAPBEXformats 2 4 2 3" xfId="11343" xr:uid="{00000000-0005-0000-0000-0000F72C0000}"/>
    <cellStyle name="SAPBEXformats 2 4 2 4" xfId="11344" xr:uid="{00000000-0005-0000-0000-0000F82C0000}"/>
    <cellStyle name="SAPBEXformats 2 4 2 5" xfId="11345" xr:uid="{00000000-0005-0000-0000-0000F92C0000}"/>
    <cellStyle name="SAPBEXformats 2 4 2 6" xfId="11346" xr:uid="{00000000-0005-0000-0000-0000FA2C0000}"/>
    <cellStyle name="SAPBEXformats 2 4 3" xfId="11347" xr:uid="{00000000-0005-0000-0000-0000FB2C0000}"/>
    <cellStyle name="SAPBEXformats 2 4 3 2" xfId="11348" xr:uid="{00000000-0005-0000-0000-0000FC2C0000}"/>
    <cellStyle name="SAPBEXformats 2 4 3 3" xfId="11349" xr:uid="{00000000-0005-0000-0000-0000FD2C0000}"/>
    <cellStyle name="SAPBEXformats 2 4 3 4" xfId="11350" xr:uid="{00000000-0005-0000-0000-0000FE2C0000}"/>
    <cellStyle name="SAPBEXformats 2 4 3 5" xfId="11351" xr:uid="{00000000-0005-0000-0000-0000FF2C0000}"/>
    <cellStyle name="SAPBEXformats 2 4 3 6" xfId="11352" xr:uid="{00000000-0005-0000-0000-0000002D0000}"/>
    <cellStyle name="SAPBEXformats 2 4 4" xfId="11353" xr:uid="{00000000-0005-0000-0000-0000012D0000}"/>
    <cellStyle name="SAPBEXformats 2 4 4 2" xfId="11354" xr:uid="{00000000-0005-0000-0000-0000022D0000}"/>
    <cellStyle name="SAPBEXformats 2 4 4 3" xfId="11355" xr:uid="{00000000-0005-0000-0000-0000032D0000}"/>
    <cellStyle name="SAPBEXformats 2 4 4 4" xfId="11356" xr:uid="{00000000-0005-0000-0000-0000042D0000}"/>
    <cellStyle name="SAPBEXformats 2 4 4 5" xfId="11357" xr:uid="{00000000-0005-0000-0000-0000052D0000}"/>
    <cellStyle name="SAPBEXformats 2 4 4 6" xfId="11358" xr:uid="{00000000-0005-0000-0000-0000062D0000}"/>
    <cellStyle name="SAPBEXformats 2 4 5" xfId="11359" xr:uid="{00000000-0005-0000-0000-0000072D0000}"/>
    <cellStyle name="SAPBEXformats 2 4 5 2" xfId="11360" xr:uid="{00000000-0005-0000-0000-0000082D0000}"/>
    <cellStyle name="SAPBEXformats 2 4 5 3" xfId="11361" xr:uid="{00000000-0005-0000-0000-0000092D0000}"/>
    <cellStyle name="SAPBEXformats 2 4 5 4" xfId="11362" xr:uid="{00000000-0005-0000-0000-00000A2D0000}"/>
    <cellStyle name="SAPBEXformats 2 4 5 5" xfId="11363" xr:uid="{00000000-0005-0000-0000-00000B2D0000}"/>
    <cellStyle name="SAPBEXformats 2 4 5 6" xfId="11364" xr:uid="{00000000-0005-0000-0000-00000C2D0000}"/>
    <cellStyle name="SAPBEXformats 2 4 6" xfId="11365" xr:uid="{00000000-0005-0000-0000-00000D2D0000}"/>
    <cellStyle name="SAPBEXformats 2 4 7" xfId="11366" xr:uid="{00000000-0005-0000-0000-00000E2D0000}"/>
    <cellStyle name="SAPBEXformats 2 4 8" xfId="11367" xr:uid="{00000000-0005-0000-0000-00000F2D0000}"/>
    <cellStyle name="SAPBEXformats 2 5" xfId="11368" xr:uid="{00000000-0005-0000-0000-0000102D0000}"/>
    <cellStyle name="SAPBEXformats 2 5 2" xfId="11369" xr:uid="{00000000-0005-0000-0000-0000112D0000}"/>
    <cellStyle name="SAPBEXformats 2 5 3" xfId="11370" xr:uid="{00000000-0005-0000-0000-0000122D0000}"/>
    <cellStyle name="SAPBEXformats 2 5 4" xfId="11371" xr:uid="{00000000-0005-0000-0000-0000132D0000}"/>
    <cellStyle name="SAPBEXformats 2 6" xfId="11372" xr:uid="{00000000-0005-0000-0000-0000142D0000}"/>
    <cellStyle name="SAPBEXformats 2 6 2" xfId="11373" xr:uid="{00000000-0005-0000-0000-0000152D0000}"/>
    <cellStyle name="SAPBEXformats 2 6 3" xfId="11374" xr:uid="{00000000-0005-0000-0000-0000162D0000}"/>
    <cellStyle name="SAPBEXformats 2 6 4" xfId="11375" xr:uid="{00000000-0005-0000-0000-0000172D0000}"/>
    <cellStyle name="SAPBEXformats 2 7" xfId="11376" xr:uid="{00000000-0005-0000-0000-0000182D0000}"/>
    <cellStyle name="SAPBEXformats 2 7 2" xfId="11377" xr:uid="{00000000-0005-0000-0000-0000192D0000}"/>
    <cellStyle name="SAPBEXformats 2 7 3" xfId="11378" xr:uid="{00000000-0005-0000-0000-00001A2D0000}"/>
    <cellStyle name="SAPBEXformats 2 7 4" xfId="11379" xr:uid="{00000000-0005-0000-0000-00001B2D0000}"/>
    <cellStyle name="SAPBEXformats 2 8" xfId="11380" xr:uid="{00000000-0005-0000-0000-00001C2D0000}"/>
    <cellStyle name="SAPBEXformats 2 8 2" xfId="11381" xr:uid="{00000000-0005-0000-0000-00001D2D0000}"/>
    <cellStyle name="SAPBEXformats 2 8 3" xfId="11382" xr:uid="{00000000-0005-0000-0000-00001E2D0000}"/>
    <cellStyle name="SAPBEXformats 2 8 4" xfId="11383" xr:uid="{00000000-0005-0000-0000-00001F2D0000}"/>
    <cellStyle name="SAPBEXformats 2 9" xfId="11384" xr:uid="{00000000-0005-0000-0000-0000202D0000}"/>
    <cellStyle name="SAPBEXformats 2 9 2" xfId="11385" xr:uid="{00000000-0005-0000-0000-0000212D0000}"/>
    <cellStyle name="SAPBEXformats 2 9 3" xfId="11386" xr:uid="{00000000-0005-0000-0000-0000222D0000}"/>
    <cellStyle name="SAPBEXformats 2 9 4" xfId="11387" xr:uid="{00000000-0005-0000-0000-0000232D0000}"/>
    <cellStyle name="SAPBEXformats 20" xfId="11388" xr:uid="{00000000-0005-0000-0000-0000242D0000}"/>
    <cellStyle name="SAPBEXformats 20 2" xfId="11389" xr:uid="{00000000-0005-0000-0000-0000252D0000}"/>
    <cellStyle name="SAPBEXformats 20 3" xfId="11390" xr:uid="{00000000-0005-0000-0000-0000262D0000}"/>
    <cellStyle name="SAPBEXformats 20 4" xfId="11391" xr:uid="{00000000-0005-0000-0000-0000272D0000}"/>
    <cellStyle name="SAPBEXformats 20 5" xfId="11392" xr:uid="{00000000-0005-0000-0000-0000282D0000}"/>
    <cellStyle name="SAPBEXformats 20 6" xfId="11393" xr:uid="{00000000-0005-0000-0000-0000292D0000}"/>
    <cellStyle name="SAPBEXformats 21" xfId="11394" xr:uid="{00000000-0005-0000-0000-00002A2D0000}"/>
    <cellStyle name="SAPBEXformats 21 2" xfId="11395" xr:uid="{00000000-0005-0000-0000-00002B2D0000}"/>
    <cellStyle name="SAPBEXformats 21 3" xfId="11396" xr:uid="{00000000-0005-0000-0000-00002C2D0000}"/>
    <cellStyle name="SAPBEXformats 21 4" xfId="11397" xr:uid="{00000000-0005-0000-0000-00002D2D0000}"/>
    <cellStyle name="SAPBEXformats 21 5" xfId="11398" xr:uid="{00000000-0005-0000-0000-00002E2D0000}"/>
    <cellStyle name="SAPBEXformats 21 6" xfId="11399" xr:uid="{00000000-0005-0000-0000-00002F2D0000}"/>
    <cellStyle name="SAPBEXformats 22" xfId="11400" xr:uid="{00000000-0005-0000-0000-0000302D0000}"/>
    <cellStyle name="SAPBEXformats 22 2" xfId="11401" xr:uid="{00000000-0005-0000-0000-0000312D0000}"/>
    <cellStyle name="SAPBEXformats 22 3" xfId="11402" xr:uid="{00000000-0005-0000-0000-0000322D0000}"/>
    <cellStyle name="SAPBEXformats 22 4" xfId="11403" xr:uid="{00000000-0005-0000-0000-0000332D0000}"/>
    <cellStyle name="SAPBEXformats 22 5" xfId="11404" xr:uid="{00000000-0005-0000-0000-0000342D0000}"/>
    <cellStyle name="SAPBEXformats 22 6" xfId="11405" xr:uid="{00000000-0005-0000-0000-0000352D0000}"/>
    <cellStyle name="SAPBEXformats 23" xfId="11406" xr:uid="{00000000-0005-0000-0000-0000362D0000}"/>
    <cellStyle name="SAPBEXformats 23 2" xfId="11407" xr:uid="{00000000-0005-0000-0000-0000372D0000}"/>
    <cellStyle name="SAPBEXformats 23 3" xfId="11408" xr:uid="{00000000-0005-0000-0000-0000382D0000}"/>
    <cellStyle name="SAPBEXformats 23 4" xfId="11409" xr:uid="{00000000-0005-0000-0000-0000392D0000}"/>
    <cellStyle name="SAPBEXformats 23 5" xfId="11410" xr:uid="{00000000-0005-0000-0000-00003A2D0000}"/>
    <cellStyle name="SAPBEXformats 23 6" xfId="11411" xr:uid="{00000000-0005-0000-0000-00003B2D0000}"/>
    <cellStyle name="SAPBEXformats 24" xfId="11412" xr:uid="{00000000-0005-0000-0000-00003C2D0000}"/>
    <cellStyle name="SAPBEXformats 24 2" xfId="11413" xr:uid="{00000000-0005-0000-0000-00003D2D0000}"/>
    <cellStyle name="SAPBEXformats 24 3" xfId="11414" xr:uid="{00000000-0005-0000-0000-00003E2D0000}"/>
    <cellStyle name="SAPBEXformats 24 4" xfId="11415" xr:uid="{00000000-0005-0000-0000-00003F2D0000}"/>
    <cellStyle name="SAPBEXformats 24 5" xfId="11416" xr:uid="{00000000-0005-0000-0000-0000402D0000}"/>
    <cellStyle name="SAPBEXformats 24 6" xfId="11417" xr:uid="{00000000-0005-0000-0000-0000412D0000}"/>
    <cellStyle name="SAPBEXformats 25" xfId="11418" xr:uid="{00000000-0005-0000-0000-0000422D0000}"/>
    <cellStyle name="SAPBEXformats 25 2" xfId="11419" xr:uid="{00000000-0005-0000-0000-0000432D0000}"/>
    <cellStyle name="SAPBEXformats 25 3" xfId="11420" xr:uid="{00000000-0005-0000-0000-0000442D0000}"/>
    <cellStyle name="SAPBEXformats 25 4" xfId="11421" xr:uid="{00000000-0005-0000-0000-0000452D0000}"/>
    <cellStyle name="SAPBEXformats 25 5" xfId="11422" xr:uid="{00000000-0005-0000-0000-0000462D0000}"/>
    <cellStyle name="SAPBEXformats 25 6" xfId="11423" xr:uid="{00000000-0005-0000-0000-0000472D0000}"/>
    <cellStyle name="SAPBEXformats 26" xfId="11424" xr:uid="{00000000-0005-0000-0000-0000482D0000}"/>
    <cellStyle name="SAPBEXformats 26 2" xfId="11425" xr:uid="{00000000-0005-0000-0000-0000492D0000}"/>
    <cellStyle name="SAPBEXformats 26 3" xfId="11426" xr:uid="{00000000-0005-0000-0000-00004A2D0000}"/>
    <cellStyle name="SAPBEXformats 26 4" xfId="11427" xr:uid="{00000000-0005-0000-0000-00004B2D0000}"/>
    <cellStyle name="SAPBEXformats 26 5" xfId="11428" xr:uid="{00000000-0005-0000-0000-00004C2D0000}"/>
    <cellStyle name="SAPBEXformats 26 6" xfId="11429" xr:uid="{00000000-0005-0000-0000-00004D2D0000}"/>
    <cellStyle name="SAPBEXformats 27" xfId="11430" xr:uid="{00000000-0005-0000-0000-00004E2D0000}"/>
    <cellStyle name="SAPBEXformats 27 2" xfId="11431" xr:uid="{00000000-0005-0000-0000-00004F2D0000}"/>
    <cellStyle name="SAPBEXformats 27 3" xfId="11432" xr:uid="{00000000-0005-0000-0000-0000502D0000}"/>
    <cellStyle name="SAPBEXformats 27 4" xfId="11433" xr:uid="{00000000-0005-0000-0000-0000512D0000}"/>
    <cellStyle name="SAPBEXformats 27 5" xfId="11434" xr:uid="{00000000-0005-0000-0000-0000522D0000}"/>
    <cellStyle name="SAPBEXformats 27 6" xfId="11435" xr:uid="{00000000-0005-0000-0000-0000532D0000}"/>
    <cellStyle name="SAPBEXformats 28" xfId="11436" xr:uid="{00000000-0005-0000-0000-0000542D0000}"/>
    <cellStyle name="SAPBEXformats 28 2" xfId="11437" xr:uid="{00000000-0005-0000-0000-0000552D0000}"/>
    <cellStyle name="SAPBEXformats 28 3" xfId="11438" xr:uid="{00000000-0005-0000-0000-0000562D0000}"/>
    <cellStyle name="SAPBEXformats 28 4" xfId="11439" xr:uid="{00000000-0005-0000-0000-0000572D0000}"/>
    <cellStyle name="SAPBEXformats 28 5" xfId="11440" xr:uid="{00000000-0005-0000-0000-0000582D0000}"/>
    <cellStyle name="SAPBEXformats 28 6" xfId="11441" xr:uid="{00000000-0005-0000-0000-0000592D0000}"/>
    <cellStyle name="SAPBEXformats 29" xfId="11442" xr:uid="{00000000-0005-0000-0000-00005A2D0000}"/>
    <cellStyle name="SAPBEXformats 29 2" xfId="11443" xr:uid="{00000000-0005-0000-0000-00005B2D0000}"/>
    <cellStyle name="SAPBEXformats 29 3" xfId="11444" xr:uid="{00000000-0005-0000-0000-00005C2D0000}"/>
    <cellStyle name="SAPBEXformats 29 4" xfId="11445" xr:uid="{00000000-0005-0000-0000-00005D2D0000}"/>
    <cellStyle name="SAPBEXformats 29 5" xfId="11446" xr:uid="{00000000-0005-0000-0000-00005E2D0000}"/>
    <cellStyle name="SAPBEXformats 29 6" xfId="11447" xr:uid="{00000000-0005-0000-0000-00005F2D0000}"/>
    <cellStyle name="SAPBEXformats 3" xfId="11448" xr:uid="{00000000-0005-0000-0000-0000602D0000}"/>
    <cellStyle name="SAPBEXformats 3 10" xfId="11449" xr:uid="{00000000-0005-0000-0000-0000612D0000}"/>
    <cellStyle name="SAPBEXformats 3 11" xfId="11450" xr:uid="{00000000-0005-0000-0000-0000622D0000}"/>
    <cellStyle name="SAPBEXformats 3 12" xfId="11451" xr:uid="{00000000-0005-0000-0000-0000632D0000}"/>
    <cellStyle name="SAPBEXformats 3 2" xfId="11452" xr:uid="{00000000-0005-0000-0000-0000642D0000}"/>
    <cellStyle name="SAPBEXformats 3 2 2" xfId="11453" xr:uid="{00000000-0005-0000-0000-0000652D0000}"/>
    <cellStyle name="SAPBEXformats 3 2 2 2" xfId="11454" xr:uid="{00000000-0005-0000-0000-0000662D0000}"/>
    <cellStyle name="SAPBEXformats 3 2 2 3" xfId="11455" xr:uid="{00000000-0005-0000-0000-0000672D0000}"/>
    <cellStyle name="SAPBEXformats 3 2 2 4" xfId="11456" xr:uid="{00000000-0005-0000-0000-0000682D0000}"/>
    <cellStyle name="SAPBEXformats 3 2 2 5" xfId="11457" xr:uid="{00000000-0005-0000-0000-0000692D0000}"/>
    <cellStyle name="SAPBEXformats 3 2 2 6" xfId="11458" xr:uid="{00000000-0005-0000-0000-00006A2D0000}"/>
    <cellStyle name="SAPBEXformats 3 2 3" xfId="11459" xr:uid="{00000000-0005-0000-0000-00006B2D0000}"/>
    <cellStyle name="SAPBEXformats 3 2 3 2" xfId="11460" xr:uid="{00000000-0005-0000-0000-00006C2D0000}"/>
    <cellStyle name="SAPBEXformats 3 2 3 3" xfId="11461" xr:uid="{00000000-0005-0000-0000-00006D2D0000}"/>
    <cellStyle name="SAPBEXformats 3 2 3 4" xfId="11462" xr:uid="{00000000-0005-0000-0000-00006E2D0000}"/>
    <cellStyle name="SAPBEXformats 3 2 3 5" xfId="11463" xr:uid="{00000000-0005-0000-0000-00006F2D0000}"/>
    <cellStyle name="SAPBEXformats 3 2 3 6" xfId="11464" xr:uid="{00000000-0005-0000-0000-0000702D0000}"/>
    <cellStyle name="SAPBEXformats 3 2 4" xfId="11465" xr:uid="{00000000-0005-0000-0000-0000712D0000}"/>
    <cellStyle name="SAPBEXformats 3 2 4 2" xfId="11466" xr:uid="{00000000-0005-0000-0000-0000722D0000}"/>
    <cellStyle name="SAPBEXformats 3 2 4 3" xfId="11467" xr:uid="{00000000-0005-0000-0000-0000732D0000}"/>
    <cellStyle name="SAPBEXformats 3 2 4 4" xfId="11468" xr:uid="{00000000-0005-0000-0000-0000742D0000}"/>
    <cellStyle name="SAPBEXformats 3 2 4 5" xfId="11469" xr:uid="{00000000-0005-0000-0000-0000752D0000}"/>
    <cellStyle name="SAPBEXformats 3 2 4 6" xfId="11470" xr:uid="{00000000-0005-0000-0000-0000762D0000}"/>
    <cellStyle name="SAPBEXformats 3 2 5" xfId="11471" xr:uid="{00000000-0005-0000-0000-0000772D0000}"/>
    <cellStyle name="SAPBEXformats 3 2 5 2" xfId="11472" xr:uid="{00000000-0005-0000-0000-0000782D0000}"/>
    <cellStyle name="SAPBEXformats 3 2 5 3" xfId="11473" xr:uid="{00000000-0005-0000-0000-0000792D0000}"/>
    <cellStyle name="SAPBEXformats 3 2 5 4" xfId="11474" xr:uid="{00000000-0005-0000-0000-00007A2D0000}"/>
    <cellStyle name="SAPBEXformats 3 2 5 5" xfId="11475" xr:uid="{00000000-0005-0000-0000-00007B2D0000}"/>
    <cellStyle name="SAPBEXformats 3 2 5 6" xfId="11476" xr:uid="{00000000-0005-0000-0000-00007C2D0000}"/>
    <cellStyle name="SAPBEXformats 3 2 6" xfId="11477" xr:uid="{00000000-0005-0000-0000-00007D2D0000}"/>
    <cellStyle name="SAPBEXformats 3 2 7" xfId="11478" xr:uid="{00000000-0005-0000-0000-00007E2D0000}"/>
    <cellStyle name="SAPBEXformats 3 2 8" xfId="11479" xr:uid="{00000000-0005-0000-0000-00007F2D0000}"/>
    <cellStyle name="SAPBEXformats 3 3" xfId="11480" xr:uid="{00000000-0005-0000-0000-0000802D0000}"/>
    <cellStyle name="SAPBEXformats 3 3 2" xfId="11481" xr:uid="{00000000-0005-0000-0000-0000812D0000}"/>
    <cellStyle name="SAPBEXformats 3 3 3" xfId="11482" xr:uid="{00000000-0005-0000-0000-0000822D0000}"/>
    <cellStyle name="SAPBEXformats 3 3 4" xfId="11483" xr:uid="{00000000-0005-0000-0000-0000832D0000}"/>
    <cellStyle name="SAPBEXformats 3 3 5" xfId="11484" xr:uid="{00000000-0005-0000-0000-0000842D0000}"/>
    <cellStyle name="SAPBEXformats 3 3 6" xfId="11485" xr:uid="{00000000-0005-0000-0000-0000852D0000}"/>
    <cellStyle name="SAPBEXformats 3 4" xfId="11486" xr:uid="{00000000-0005-0000-0000-0000862D0000}"/>
    <cellStyle name="SAPBEXformats 3 4 2" xfId="11487" xr:uid="{00000000-0005-0000-0000-0000872D0000}"/>
    <cellStyle name="SAPBEXformats 3 4 3" xfId="11488" xr:uid="{00000000-0005-0000-0000-0000882D0000}"/>
    <cellStyle name="SAPBEXformats 3 4 4" xfId="11489" xr:uid="{00000000-0005-0000-0000-0000892D0000}"/>
    <cellStyle name="SAPBEXformats 3 4 5" xfId="11490" xr:uid="{00000000-0005-0000-0000-00008A2D0000}"/>
    <cellStyle name="SAPBEXformats 3 4 6" xfId="11491" xr:uid="{00000000-0005-0000-0000-00008B2D0000}"/>
    <cellStyle name="SAPBEXformats 3 5" xfId="11492" xr:uid="{00000000-0005-0000-0000-00008C2D0000}"/>
    <cellStyle name="SAPBEXformats 3 5 2" xfId="11493" xr:uid="{00000000-0005-0000-0000-00008D2D0000}"/>
    <cellStyle name="SAPBEXformats 3 5 3" xfId="11494" xr:uid="{00000000-0005-0000-0000-00008E2D0000}"/>
    <cellStyle name="SAPBEXformats 3 5 4" xfId="11495" xr:uid="{00000000-0005-0000-0000-00008F2D0000}"/>
    <cellStyle name="SAPBEXformats 3 6" xfId="11496" xr:uid="{00000000-0005-0000-0000-0000902D0000}"/>
    <cellStyle name="SAPBEXformats 3 6 2" xfId="11497" xr:uid="{00000000-0005-0000-0000-0000912D0000}"/>
    <cellStyle name="SAPBEXformats 3 6 3" xfId="11498" xr:uid="{00000000-0005-0000-0000-0000922D0000}"/>
    <cellStyle name="SAPBEXformats 3 6 4" xfId="11499" xr:uid="{00000000-0005-0000-0000-0000932D0000}"/>
    <cellStyle name="SAPBEXformats 3 7" xfId="11500" xr:uid="{00000000-0005-0000-0000-0000942D0000}"/>
    <cellStyle name="SAPBEXformats 3 7 2" xfId="11501" xr:uid="{00000000-0005-0000-0000-0000952D0000}"/>
    <cellStyle name="SAPBEXformats 3 7 3" xfId="11502" xr:uid="{00000000-0005-0000-0000-0000962D0000}"/>
    <cellStyle name="SAPBEXformats 3 7 4" xfId="11503" xr:uid="{00000000-0005-0000-0000-0000972D0000}"/>
    <cellStyle name="SAPBEXformats 3 8" xfId="11504" xr:uid="{00000000-0005-0000-0000-0000982D0000}"/>
    <cellStyle name="SAPBEXformats 3 9" xfId="11505" xr:uid="{00000000-0005-0000-0000-0000992D0000}"/>
    <cellStyle name="SAPBEXformats 30" xfId="11506" xr:uid="{00000000-0005-0000-0000-00009A2D0000}"/>
    <cellStyle name="SAPBEXformats 30 2" xfId="11507" xr:uid="{00000000-0005-0000-0000-00009B2D0000}"/>
    <cellStyle name="SAPBEXformats 30 3" xfId="11508" xr:uid="{00000000-0005-0000-0000-00009C2D0000}"/>
    <cellStyle name="SAPBEXformats 30 4" xfId="11509" xr:uid="{00000000-0005-0000-0000-00009D2D0000}"/>
    <cellStyle name="SAPBEXformats 30 5" xfId="11510" xr:uid="{00000000-0005-0000-0000-00009E2D0000}"/>
    <cellStyle name="SAPBEXformats 30 6" xfId="11511" xr:uid="{00000000-0005-0000-0000-00009F2D0000}"/>
    <cellStyle name="SAPBEXformats 31" xfId="11512" xr:uid="{00000000-0005-0000-0000-0000A02D0000}"/>
    <cellStyle name="SAPBEXformats 31 2" xfId="11513" xr:uid="{00000000-0005-0000-0000-0000A12D0000}"/>
    <cellStyle name="SAPBEXformats 31 3" xfId="11514" xr:uid="{00000000-0005-0000-0000-0000A22D0000}"/>
    <cellStyle name="SAPBEXformats 31 4" xfId="11515" xr:uid="{00000000-0005-0000-0000-0000A32D0000}"/>
    <cellStyle name="SAPBEXformats 31 5" xfId="11516" xr:uid="{00000000-0005-0000-0000-0000A42D0000}"/>
    <cellStyle name="SAPBEXformats 31 6" xfId="11517" xr:uid="{00000000-0005-0000-0000-0000A52D0000}"/>
    <cellStyle name="SAPBEXformats 32" xfId="11518" xr:uid="{00000000-0005-0000-0000-0000A62D0000}"/>
    <cellStyle name="SAPBEXformats 32 2" xfId="11519" xr:uid="{00000000-0005-0000-0000-0000A72D0000}"/>
    <cellStyle name="SAPBEXformats 32 3" xfId="11520" xr:uid="{00000000-0005-0000-0000-0000A82D0000}"/>
    <cellStyle name="SAPBEXformats 32 4" xfId="11521" xr:uid="{00000000-0005-0000-0000-0000A92D0000}"/>
    <cellStyle name="SAPBEXformats 32 5" xfId="11522" xr:uid="{00000000-0005-0000-0000-0000AA2D0000}"/>
    <cellStyle name="SAPBEXformats 32 6" xfId="11523" xr:uid="{00000000-0005-0000-0000-0000AB2D0000}"/>
    <cellStyle name="SAPBEXformats 33" xfId="11524" xr:uid="{00000000-0005-0000-0000-0000AC2D0000}"/>
    <cellStyle name="SAPBEXformats 34" xfId="11525" xr:uid="{00000000-0005-0000-0000-0000AD2D0000}"/>
    <cellStyle name="SAPBEXformats 35" xfId="11526" xr:uid="{00000000-0005-0000-0000-0000AE2D0000}"/>
    <cellStyle name="SAPBEXformats 36" xfId="27818" xr:uid="{00000000-0005-0000-0000-0000AF2D0000}"/>
    <cellStyle name="SAPBEXformats 37" xfId="27919" xr:uid="{00000000-0005-0000-0000-0000B02D0000}"/>
    <cellStyle name="SAPBEXformats 38" xfId="27981" xr:uid="{00000000-0005-0000-0000-0000B12D0000}"/>
    <cellStyle name="SAPBEXformats 39" xfId="28019" xr:uid="{00000000-0005-0000-0000-0000B22D0000}"/>
    <cellStyle name="SAPBEXformats 4" xfId="11527" xr:uid="{00000000-0005-0000-0000-0000B32D0000}"/>
    <cellStyle name="SAPBEXformats 4 2" xfId="11528" xr:uid="{00000000-0005-0000-0000-0000B42D0000}"/>
    <cellStyle name="SAPBEXformats 4 3" xfId="11529" xr:uid="{00000000-0005-0000-0000-0000B52D0000}"/>
    <cellStyle name="SAPBEXformats 4 4" xfId="11530" xr:uid="{00000000-0005-0000-0000-0000B62D0000}"/>
    <cellStyle name="SAPBEXformats 4 5" xfId="11531" xr:uid="{00000000-0005-0000-0000-0000B72D0000}"/>
    <cellStyle name="SAPBEXformats 4 6" xfId="11532" xr:uid="{00000000-0005-0000-0000-0000B82D0000}"/>
    <cellStyle name="SAPBEXformats 40" xfId="28154" xr:uid="{00000000-0005-0000-0000-0000B92D0000}"/>
    <cellStyle name="SAPBEXformats 5" xfId="11533" xr:uid="{00000000-0005-0000-0000-0000BA2D0000}"/>
    <cellStyle name="SAPBEXformats 5 2" xfId="11534" xr:uid="{00000000-0005-0000-0000-0000BB2D0000}"/>
    <cellStyle name="SAPBEXformats 5 3" xfId="11535" xr:uid="{00000000-0005-0000-0000-0000BC2D0000}"/>
    <cellStyle name="SAPBEXformats 5 4" xfId="11536" xr:uid="{00000000-0005-0000-0000-0000BD2D0000}"/>
    <cellStyle name="SAPBEXformats 5 5" xfId="11537" xr:uid="{00000000-0005-0000-0000-0000BE2D0000}"/>
    <cellStyle name="SAPBEXformats 5 6" xfId="11538" xr:uid="{00000000-0005-0000-0000-0000BF2D0000}"/>
    <cellStyle name="SAPBEXformats 6" xfId="11539" xr:uid="{00000000-0005-0000-0000-0000C02D0000}"/>
    <cellStyle name="SAPBEXformats 6 10" xfId="11540" xr:uid="{00000000-0005-0000-0000-0000C12D0000}"/>
    <cellStyle name="SAPBEXformats 6 2" xfId="11541" xr:uid="{00000000-0005-0000-0000-0000C22D0000}"/>
    <cellStyle name="SAPBEXformats 6 2 2" xfId="11542" xr:uid="{00000000-0005-0000-0000-0000C32D0000}"/>
    <cellStyle name="SAPBEXformats 6 2 3" xfId="11543" xr:uid="{00000000-0005-0000-0000-0000C42D0000}"/>
    <cellStyle name="SAPBEXformats 6 2 4" xfId="11544" xr:uid="{00000000-0005-0000-0000-0000C52D0000}"/>
    <cellStyle name="SAPBEXformats 6 3" xfId="11545" xr:uid="{00000000-0005-0000-0000-0000C62D0000}"/>
    <cellStyle name="SAPBEXformats 6 3 2" xfId="11546" xr:uid="{00000000-0005-0000-0000-0000C72D0000}"/>
    <cellStyle name="SAPBEXformats 6 3 3" xfId="11547" xr:uid="{00000000-0005-0000-0000-0000C82D0000}"/>
    <cellStyle name="SAPBEXformats 6 3 4" xfId="11548" xr:uid="{00000000-0005-0000-0000-0000C92D0000}"/>
    <cellStyle name="SAPBEXformats 6 4" xfId="11549" xr:uid="{00000000-0005-0000-0000-0000CA2D0000}"/>
    <cellStyle name="SAPBEXformats 6 4 2" xfId="11550" xr:uid="{00000000-0005-0000-0000-0000CB2D0000}"/>
    <cellStyle name="SAPBEXformats 6 4 3" xfId="11551" xr:uid="{00000000-0005-0000-0000-0000CC2D0000}"/>
    <cellStyle name="SAPBEXformats 6 4 4" xfId="11552" xr:uid="{00000000-0005-0000-0000-0000CD2D0000}"/>
    <cellStyle name="SAPBEXformats 6 5" xfId="11553" xr:uid="{00000000-0005-0000-0000-0000CE2D0000}"/>
    <cellStyle name="SAPBEXformats 6 5 2" xfId="11554" xr:uid="{00000000-0005-0000-0000-0000CF2D0000}"/>
    <cellStyle name="SAPBEXformats 6 5 3" xfId="11555" xr:uid="{00000000-0005-0000-0000-0000D02D0000}"/>
    <cellStyle name="SAPBEXformats 6 5 4" xfId="11556" xr:uid="{00000000-0005-0000-0000-0000D12D0000}"/>
    <cellStyle name="SAPBEXformats 6 6" xfId="11557" xr:uid="{00000000-0005-0000-0000-0000D22D0000}"/>
    <cellStyle name="SAPBEXformats 6 7" xfId="11558" xr:uid="{00000000-0005-0000-0000-0000D32D0000}"/>
    <cellStyle name="SAPBEXformats 6 8" xfId="11559" xr:uid="{00000000-0005-0000-0000-0000D42D0000}"/>
    <cellStyle name="SAPBEXformats 6 9" xfId="11560" xr:uid="{00000000-0005-0000-0000-0000D52D0000}"/>
    <cellStyle name="SAPBEXformats 7" xfId="11561" xr:uid="{00000000-0005-0000-0000-0000D62D0000}"/>
    <cellStyle name="SAPBEXformats 7 10" xfId="11562" xr:uid="{00000000-0005-0000-0000-0000D72D0000}"/>
    <cellStyle name="SAPBEXformats 7 2" xfId="11563" xr:uid="{00000000-0005-0000-0000-0000D82D0000}"/>
    <cellStyle name="SAPBEXformats 7 2 2" xfId="11564" xr:uid="{00000000-0005-0000-0000-0000D92D0000}"/>
    <cellStyle name="SAPBEXformats 7 2 3" xfId="11565" xr:uid="{00000000-0005-0000-0000-0000DA2D0000}"/>
    <cellStyle name="SAPBEXformats 7 2 4" xfId="11566" xr:uid="{00000000-0005-0000-0000-0000DB2D0000}"/>
    <cellStyle name="SAPBEXformats 7 3" xfId="11567" xr:uid="{00000000-0005-0000-0000-0000DC2D0000}"/>
    <cellStyle name="SAPBEXformats 7 3 2" xfId="11568" xr:uid="{00000000-0005-0000-0000-0000DD2D0000}"/>
    <cellStyle name="SAPBEXformats 7 3 3" xfId="11569" xr:uid="{00000000-0005-0000-0000-0000DE2D0000}"/>
    <cellStyle name="SAPBEXformats 7 3 4" xfId="11570" xr:uid="{00000000-0005-0000-0000-0000DF2D0000}"/>
    <cellStyle name="SAPBEXformats 7 4" xfId="11571" xr:uid="{00000000-0005-0000-0000-0000E02D0000}"/>
    <cellStyle name="SAPBEXformats 7 4 2" xfId="11572" xr:uid="{00000000-0005-0000-0000-0000E12D0000}"/>
    <cellStyle name="SAPBEXformats 7 4 3" xfId="11573" xr:uid="{00000000-0005-0000-0000-0000E22D0000}"/>
    <cellStyle name="SAPBEXformats 7 4 4" xfId="11574" xr:uid="{00000000-0005-0000-0000-0000E32D0000}"/>
    <cellStyle name="SAPBEXformats 7 5" xfId="11575" xr:uid="{00000000-0005-0000-0000-0000E42D0000}"/>
    <cellStyle name="SAPBEXformats 7 5 2" xfId="11576" xr:uid="{00000000-0005-0000-0000-0000E52D0000}"/>
    <cellStyle name="SAPBEXformats 7 5 3" xfId="11577" xr:uid="{00000000-0005-0000-0000-0000E62D0000}"/>
    <cellStyle name="SAPBEXformats 7 5 4" xfId="11578" xr:uid="{00000000-0005-0000-0000-0000E72D0000}"/>
    <cellStyle name="SAPBEXformats 7 6" xfId="11579" xr:uid="{00000000-0005-0000-0000-0000E82D0000}"/>
    <cellStyle name="SAPBEXformats 7 7" xfId="11580" xr:uid="{00000000-0005-0000-0000-0000E92D0000}"/>
    <cellStyle name="SAPBEXformats 7 8" xfId="11581" xr:uid="{00000000-0005-0000-0000-0000EA2D0000}"/>
    <cellStyle name="SAPBEXformats 7 9" xfId="11582" xr:uid="{00000000-0005-0000-0000-0000EB2D0000}"/>
    <cellStyle name="SAPBEXformats 8" xfId="11583" xr:uid="{00000000-0005-0000-0000-0000EC2D0000}"/>
    <cellStyle name="SAPBEXformats 8 2" xfId="11584" xr:uid="{00000000-0005-0000-0000-0000ED2D0000}"/>
    <cellStyle name="SAPBEXformats 8 3" xfId="11585" xr:uid="{00000000-0005-0000-0000-0000EE2D0000}"/>
    <cellStyle name="SAPBEXformats 8 4" xfId="11586" xr:uid="{00000000-0005-0000-0000-0000EF2D0000}"/>
    <cellStyle name="SAPBEXformats 8 5" xfId="11587" xr:uid="{00000000-0005-0000-0000-0000F02D0000}"/>
    <cellStyle name="SAPBEXformats 8 6" xfId="11588" xr:uid="{00000000-0005-0000-0000-0000F12D0000}"/>
    <cellStyle name="SAPBEXformats 9" xfId="11589" xr:uid="{00000000-0005-0000-0000-0000F22D0000}"/>
    <cellStyle name="SAPBEXformats 9 2" xfId="11590" xr:uid="{00000000-0005-0000-0000-0000F32D0000}"/>
    <cellStyle name="SAPBEXformats 9 3" xfId="11591" xr:uid="{00000000-0005-0000-0000-0000F42D0000}"/>
    <cellStyle name="SAPBEXformats 9 4" xfId="11592" xr:uid="{00000000-0005-0000-0000-0000F52D0000}"/>
    <cellStyle name="SAPBEXformats 9 5" xfId="11593" xr:uid="{00000000-0005-0000-0000-0000F62D0000}"/>
    <cellStyle name="SAPBEXformats 9 6" xfId="11594" xr:uid="{00000000-0005-0000-0000-0000F72D0000}"/>
    <cellStyle name="SAPBEXformats_2009 12 09 Cash flow (2009)" xfId="11595" xr:uid="{00000000-0005-0000-0000-0000F82D0000}"/>
    <cellStyle name="SAPBEXheaderItem" xfId="11596" xr:uid="{00000000-0005-0000-0000-0000F92D0000}"/>
    <cellStyle name="SAPBEXheaderItem 10" xfId="11597" xr:uid="{00000000-0005-0000-0000-0000FA2D0000}"/>
    <cellStyle name="SAPBEXheaderItem 10 2" xfId="11598" xr:uid="{00000000-0005-0000-0000-0000FB2D0000}"/>
    <cellStyle name="SAPBEXheaderItem 10 3" xfId="11599" xr:uid="{00000000-0005-0000-0000-0000FC2D0000}"/>
    <cellStyle name="SAPBEXheaderItem 10 4" xfId="11600" xr:uid="{00000000-0005-0000-0000-0000FD2D0000}"/>
    <cellStyle name="SAPBEXheaderItem 10 5" xfId="11601" xr:uid="{00000000-0005-0000-0000-0000FE2D0000}"/>
    <cellStyle name="SAPBEXheaderItem 10 6" xfId="11602" xr:uid="{00000000-0005-0000-0000-0000FF2D0000}"/>
    <cellStyle name="SAPBEXheaderItem 100" xfId="11603" xr:uid="{00000000-0005-0000-0000-0000002E0000}"/>
    <cellStyle name="SAPBEXheaderItem 101" xfId="11604" xr:uid="{00000000-0005-0000-0000-0000012E0000}"/>
    <cellStyle name="SAPBEXheaderItem 102" xfId="11605" xr:uid="{00000000-0005-0000-0000-0000022E0000}"/>
    <cellStyle name="SAPBEXheaderItem 103" xfId="11606" xr:uid="{00000000-0005-0000-0000-0000032E0000}"/>
    <cellStyle name="SAPBEXheaderItem 104" xfId="11607" xr:uid="{00000000-0005-0000-0000-0000042E0000}"/>
    <cellStyle name="SAPBEXheaderItem 105" xfId="11608" xr:uid="{00000000-0005-0000-0000-0000052E0000}"/>
    <cellStyle name="SAPBEXheaderItem 106" xfId="11609" xr:uid="{00000000-0005-0000-0000-0000062E0000}"/>
    <cellStyle name="SAPBEXheaderItem 107" xfId="11610" xr:uid="{00000000-0005-0000-0000-0000072E0000}"/>
    <cellStyle name="SAPBEXheaderItem 108" xfId="11611" xr:uid="{00000000-0005-0000-0000-0000082E0000}"/>
    <cellStyle name="SAPBEXheaderItem 109" xfId="11612" xr:uid="{00000000-0005-0000-0000-0000092E0000}"/>
    <cellStyle name="SAPBEXheaderItem 11" xfId="11613" xr:uid="{00000000-0005-0000-0000-00000A2E0000}"/>
    <cellStyle name="SAPBEXheaderItem 11 2" xfId="11614" xr:uid="{00000000-0005-0000-0000-00000B2E0000}"/>
    <cellStyle name="SAPBEXheaderItem 11 3" xfId="11615" xr:uid="{00000000-0005-0000-0000-00000C2E0000}"/>
    <cellStyle name="SAPBEXheaderItem 11 4" xfId="11616" xr:uid="{00000000-0005-0000-0000-00000D2E0000}"/>
    <cellStyle name="SAPBEXheaderItem 11 5" xfId="11617" xr:uid="{00000000-0005-0000-0000-00000E2E0000}"/>
    <cellStyle name="SAPBEXheaderItem 11 6" xfId="11618" xr:uid="{00000000-0005-0000-0000-00000F2E0000}"/>
    <cellStyle name="SAPBEXheaderItem 110" xfId="11619" xr:uid="{00000000-0005-0000-0000-0000102E0000}"/>
    <cellStyle name="SAPBEXheaderItem 111" xfId="11620" xr:uid="{00000000-0005-0000-0000-0000112E0000}"/>
    <cellStyle name="SAPBEXheaderItem 112" xfId="11621" xr:uid="{00000000-0005-0000-0000-0000122E0000}"/>
    <cellStyle name="SAPBEXheaderItem 113" xfId="11622" xr:uid="{00000000-0005-0000-0000-0000132E0000}"/>
    <cellStyle name="SAPBEXheaderItem 114" xfId="11623" xr:uid="{00000000-0005-0000-0000-0000142E0000}"/>
    <cellStyle name="SAPBEXheaderItem 115" xfId="11624" xr:uid="{00000000-0005-0000-0000-0000152E0000}"/>
    <cellStyle name="SAPBEXheaderItem 116" xfId="11625" xr:uid="{00000000-0005-0000-0000-0000162E0000}"/>
    <cellStyle name="SAPBEXheaderItem 117" xfId="11626" xr:uid="{00000000-0005-0000-0000-0000172E0000}"/>
    <cellStyle name="SAPBEXheaderItem 118" xfId="11627" xr:uid="{00000000-0005-0000-0000-0000182E0000}"/>
    <cellStyle name="SAPBEXheaderItem 119" xfId="11628" xr:uid="{00000000-0005-0000-0000-0000192E0000}"/>
    <cellStyle name="SAPBEXheaderItem 12" xfId="11629" xr:uid="{00000000-0005-0000-0000-00001A2E0000}"/>
    <cellStyle name="SAPBEXheaderItem 12 2" xfId="11630" xr:uid="{00000000-0005-0000-0000-00001B2E0000}"/>
    <cellStyle name="SAPBEXheaderItem 12 3" xfId="11631" xr:uid="{00000000-0005-0000-0000-00001C2E0000}"/>
    <cellStyle name="SAPBEXheaderItem 12 4" xfId="11632" xr:uid="{00000000-0005-0000-0000-00001D2E0000}"/>
    <cellStyle name="SAPBEXheaderItem 12 5" xfId="11633" xr:uid="{00000000-0005-0000-0000-00001E2E0000}"/>
    <cellStyle name="SAPBEXheaderItem 12 6" xfId="11634" xr:uid="{00000000-0005-0000-0000-00001F2E0000}"/>
    <cellStyle name="SAPBEXheaderItem 120" xfId="11635" xr:uid="{00000000-0005-0000-0000-0000202E0000}"/>
    <cellStyle name="SAPBEXheaderItem 121" xfId="11636" xr:uid="{00000000-0005-0000-0000-0000212E0000}"/>
    <cellStyle name="SAPBEXheaderItem 122" xfId="11637" xr:uid="{00000000-0005-0000-0000-0000222E0000}"/>
    <cellStyle name="SAPBEXheaderItem 123" xfId="11638" xr:uid="{00000000-0005-0000-0000-0000232E0000}"/>
    <cellStyle name="SAPBEXheaderItem 124" xfId="11639" xr:uid="{00000000-0005-0000-0000-0000242E0000}"/>
    <cellStyle name="SAPBEXheaderItem 125" xfId="11640" xr:uid="{00000000-0005-0000-0000-0000252E0000}"/>
    <cellStyle name="SAPBEXheaderItem 126" xfId="11641" xr:uid="{00000000-0005-0000-0000-0000262E0000}"/>
    <cellStyle name="SAPBEXheaderItem 127" xfId="11642" xr:uid="{00000000-0005-0000-0000-0000272E0000}"/>
    <cellStyle name="SAPBEXheaderItem 128" xfId="11643" xr:uid="{00000000-0005-0000-0000-0000282E0000}"/>
    <cellStyle name="SAPBEXheaderItem 129" xfId="11644" xr:uid="{00000000-0005-0000-0000-0000292E0000}"/>
    <cellStyle name="SAPBEXheaderItem 13" xfId="11645" xr:uid="{00000000-0005-0000-0000-00002A2E0000}"/>
    <cellStyle name="SAPBEXheaderItem 13 2" xfId="11646" xr:uid="{00000000-0005-0000-0000-00002B2E0000}"/>
    <cellStyle name="SAPBEXheaderItem 13 3" xfId="11647" xr:uid="{00000000-0005-0000-0000-00002C2E0000}"/>
    <cellStyle name="SAPBEXheaderItem 13 4" xfId="11648" xr:uid="{00000000-0005-0000-0000-00002D2E0000}"/>
    <cellStyle name="SAPBEXheaderItem 13 5" xfId="11649" xr:uid="{00000000-0005-0000-0000-00002E2E0000}"/>
    <cellStyle name="SAPBEXheaderItem 13 6" xfId="11650" xr:uid="{00000000-0005-0000-0000-00002F2E0000}"/>
    <cellStyle name="SAPBEXheaderItem 130" xfId="11651" xr:uid="{00000000-0005-0000-0000-0000302E0000}"/>
    <cellStyle name="SAPBEXheaderItem 131" xfId="11652" xr:uid="{00000000-0005-0000-0000-0000312E0000}"/>
    <cellStyle name="SAPBEXheaderItem 132" xfId="11653" xr:uid="{00000000-0005-0000-0000-0000322E0000}"/>
    <cellStyle name="SAPBEXheaderItem 133" xfId="11654" xr:uid="{00000000-0005-0000-0000-0000332E0000}"/>
    <cellStyle name="SAPBEXheaderItem 134" xfId="11655" xr:uid="{00000000-0005-0000-0000-0000342E0000}"/>
    <cellStyle name="SAPBEXheaderItem 135" xfId="11656" xr:uid="{00000000-0005-0000-0000-0000352E0000}"/>
    <cellStyle name="SAPBEXheaderItem 136" xfId="11657" xr:uid="{00000000-0005-0000-0000-0000362E0000}"/>
    <cellStyle name="SAPBEXheaderItem 137" xfId="11658" xr:uid="{00000000-0005-0000-0000-0000372E0000}"/>
    <cellStyle name="SAPBEXheaderItem 138" xfId="11659" xr:uid="{00000000-0005-0000-0000-0000382E0000}"/>
    <cellStyle name="SAPBEXheaderItem 139" xfId="11660" xr:uid="{00000000-0005-0000-0000-0000392E0000}"/>
    <cellStyle name="SAPBEXheaderItem 14" xfId="11661" xr:uid="{00000000-0005-0000-0000-00003A2E0000}"/>
    <cellStyle name="SAPBEXheaderItem 14 2" xfId="11662" xr:uid="{00000000-0005-0000-0000-00003B2E0000}"/>
    <cellStyle name="SAPBEXheaderItem 14 3" xfId="11663" xr:uid="{00000000-0005-0000-0000-00003C2E0000}"/>
    <cellStyle name="SAPBEXheaderItem 14 4" xfId="11664" xr:uid="{00000000-0005-0000-0000-00003D2E0000}"/>
    <cellStyle name="SAPBEXheaderItem 14 5" xfId="11665" xr:uid="{00000000-0005-0000-0000-00003E2E0000}"/>
    <cellStyle name="SAPBEXheaderItem 14 6" xfId="11666" xr:uid="{00000000-0005-0000-0000-00003F2E0000}"/>
    <cellStyle name="SAPBEXheaderItem 140" xfId="11667" xr:uid="{00000000-0005-0000-0000-0000402E0000}"/>
    <cellStyle name="SAPBEXheaderItem 141" xfId="11668" xr:uid="{00000000-0005-0000-0000-0000412E0000}"/>
    <cellStyle name="SAPBEXheaderItem 142" xfId="11669" xr:uid="{00000000-0005-0000-0000-0000422E0000}"/>
    <cellStyle name="SAPBEXheaderItem 143" xfId="11670" xr:uid="{00000000-0005-0000-0000-0000432E0000}"/>
    <cellStyle name="SAPBEXheaderItem 144" xfId="11671" xr:uid="{00000000-0005-0000-0000-0000442E0000}"/>
    <cellStyle name="SAPBEXheaderItem 145" xfId="11672" xr:uid="{00000000-0005-0000-0000-0000452E0000}"/>
    <cellStyle name="SAPBEXheaderItem 146" xfId="11673" xr:uid="{00000000-0005-0000-0000-0000462E0000}"/>
    <cellStyle name="SAPBEXheaderItem 147" xfId="11674" xr:uid="{00000000-0005-0000-0000-0000472E0000}"/>
    <cellStyle name="SAPBEXheaderItem 148" xfId="11675" xr:uid="{00000000-0005-0000-0000-0000482E0000}"/>
    <cellStyle name="SAPBEXheaderItem 149" xfId="11676" xr:uid="{00000000-0005-0000-0000-0000492E0000}"/>
    <cellStyle name="SAPBEXheaderItem 15" xfId="11677" xr:uid="{00000000-0005-0000-0000-00004A2E0000}"/>
    <cellStyle name="SAPBEXheaderItem 15 2" xfId="11678" xr:uid="{00000000-0005-0000-0000-00004B2E0000}"/>
    <cellStyle name="SAPBEXheaderItem 15 3" xfId="11679" xr:uid="{00000000-0005-0000-0000-00004C2E0000}"/>
    <cellStyle name="SAPBEXheaderItem 15 4" xfId="11680" xr:uid="{00000000-0005-0000-0000-00004D2E0000}"/>
    <cellStyle name="SAPBEXheaderItem 15 5" xfId="11681" xr:uid="{00000000-0005-0000-0000-00004E2E0000}"/>
    <cellStyle name="SAPBEXheaderItem 15 6" xfId="11682" xr:uid="{00000000-0005-0000-0000-00004F2E0000}"/>
    <cellStyle name="SAPBEXheaderItem 150" xfId="11683" xr:uid="{00000000-0005-0000-0000-0000502E0000}"/>
    <cellStyle name="SAPBEXheaderItem 151" xfId="11684" xr:uid="{00000000-0005-0000-0000-0000512E0000}"/>
    <cellStyle name="SAPBEXheaderItem 152" xfId="11685" xr:uid="{00000000-0005-0000-0000-0000522E0000}"/>
    <cellStyle name="SAPBEXheaderItem 153" xfId="11686" xr:uid="{00000000-0005-0000-0000-0000532E0000}"/>
    <cellStyle name="SAPBEXheaderItem 154" xfId="11687" xr:uid="{00000000-0005-0000-0000-0000542E0000}"/>
    <cellStyle name="SAPBEXheaderItem 155" xfId="11688" xr:uid="{00000000-0005-0000-0000-0000552E0000}"/>
    <cellStyle name="SAPBEXheaderItem 156" xfId="11689" xr:uid="{00000000-0005-0000-0000-0000562E0000}"/>
    <cellStyle name="SAPBEXheaderItem 157" xfId="11690" xr:uid="{00000000-0005-0000-0000-0000572E0000}"/>
    <cellStyle name="SAPBEXheaderItem 158" xfId="11691" xr:uid="{00000000-0005-0000-0000-0000582E0000}"/>
    <cellStyle name="SAPBEXheaderItem 159" xfId="11692" xr:uid="{00000000-0005-0000-0000-0000592E0000}"/>
    <cellStyle name="SAPBEXheaderItem 16" xfId="11693" xr:uid="{00000000-0005-0000-0000-00005A2E0000}"/>
    <cellStyle name="SAPBEXheaderItem 16 2" xfId="11694" xr:uid="{00000000-0005-0000-0000-00005B2E0000}"/>
    <cellStyle name="SAPBEXheaderItem 16 3" xfId="11695" xr:uid="{00000000-0005-0000-0000-00005C2E0000}"/>
    <cellStyle name="SAPBEXheaderItem 16 4" xfId="11696" xr:uid="{00000000-0005-0000-0000-00005D2E0000}"/>
    <cellStyle name="SAPBEXheaderItem 16 5" xfId="11697" xr:uid="{00000000-0005-0000-0000-00005E2E0000}"/>
    <cellStyle name="SAPBEXheaderItem 16 6" xfId="11698" xr:uid="{00000000-0005-0000-0000-00005F2E0000}"/>
    <cellStyle name="SAPBEXheaderItem 160" xfId="11699" xr:uid="{00000000-0005-0000-0000-0000602E0000}"/>
    <cellStyle name="SAPBEXheaderItem 161" xfId="11700" xr:uid="{00000000-0005-0000-0000-0000612E0000}"/>
    <cellStyle name="SAPBEXheaderItem 162" xfId="11701" xr:uid="{00000000-0005-0000-0000-0000622E0000}"/>
    <cellStyle name="SAPBEXheaderItem 163" xfId="11702" xr:uid="{00000000-0005-0000-0000-0000632E0000}"/>
    <cellStyle name="SAPBEXheaderItem 164" xfId="11703" xr:uid="{00000000-0005-0000-0000-0000642E0000}"/>
    <cellStyle name="SAPBEXheaderItem 165" xfId="11704" xr:uid="{00000000-0005-0000-0000-0000652E0000}"/>
    <cellStyle name="SAPBEXheaderItem 166" xfId="11705" xr:uid="{00000000-0005-0000-0000-0000662E0000}"/>
    <cellStyle name="SAPBEXheaderItem 167" xfId="11706" xr:uid="{00000000-0005-0000-0000-0000672E0000}"/>
    <cellStyle name="SAPBEXheaderItem 168" xfId="11707" xr:uid="{00000000-0005-0000-0000-0000682E0000}"/>
    <cellStyle name="SAPBEXheaderItem 169" xfId="11708" xr:uid="{00000000-0005-0000-0000-0000692E0000}"/>
    <cellStyle name="SAPBEXheaderItem 17" xfId="11709" xr:uid="{00000000-0005-0000-0000-00006A2E0000}"/>
    <cellStyle name="SAPBEXheaderItem 17 2" xfId="11710" xr:uid="{00000000-0005-0000-0000-00006B2E0000}"/>
    <cellStyle name="SAPBEXheaderItem 17 3" xfId="11711" xr:uid="{00000000-0005-0000-0000-00006C2E0000}"/>
    <cellStyle name="SAPBEXheaderItem 17 4" xfId="11712" xr:uid="{00000000-0005-0000-0000-00006D2E0000}"/>
    <cellStyle name="SAPBEXheaderItem 17 5" xfId="11713" xr:uid="{00000000-0005-0000-0000-00006E2E0000}"/>
    <cellStyle name="SAPBEXheaderItem 17 6" xfId="11714" xr:uid="{00000000-0005-0000-0000-00006F2E0000}"/>
    <cellStyle name="SAPBEXheaderItem 170" xfId="11715" xr:uid="{00000000-0005-0000-0000-0000702E0000}"/>
    <cellStyle name="SAPBEXheaderItem 171" xfId="11716" xr:uid="{00000000-0005-0000-0000-0000712E0000}"/>
    <cellStyle name="SAPBEXheaderItem 172" xfId="27817" xr:uid="{00000000-0005-0000-0000-0000722E0000}"/>
    <cellStyle name="SAPBEXheaderItem 173" xfId="27920" xr:uid="{00000000-0005-0000-0000-0000732E0000}"/>
    <cellStyle name="SAPBEXheaderItem 174" xfId="28020" xr:uid="{00000000-0005-0000-0000-0000742E0000}"/>
    <cellStyle name="SAPBEXheaderItem 18" xfId="11717" xr:uid="{00000000-0005-0000-0000-0000752E0000}"/>
    <cellStyle name="SAPBEXheaderItem 18 2" xfId="11718" xr:uid="{00000000-0005-0000-0000-0000762E0000}"/>
    <cellStyle name="SAPBEXheaderItem 18 3" xfId="11719" xr:uid="{00000000-0005-0000-0000-0000772E0000}"/>
    <cellStyle name="SAPBEXheaderItem 18 4" xfId="11720" xr:uid="{00000000-0005-0000-0000-0000782E0000}"/>
    <cellStyle name="SAPBEXheaderItem 18 5" xfId="11721" xr:uid="{00000000-0005-0000-0000-0000792E0000}"/>
    <cellStyle name="SAPBEXheaderItem 18 6" xfId="11722" xr:uid="{00000000-0005-0000-0000-00007A2E0000}"/>
    <cellStyle name="SAPBEXheaderItem 19" xfId="11723" xr:uid="{00000000-0005-0000-0000-00007B2E0000}"/>
    <cellStyle name="SAPBEXheaderItem 19 2" xfId="11724" xr:uid="{00000000-0005-0000-0000-00007C2E0000}"/>
    <cellStyle name="SAPBEXheaderItem 19 3" xfId="11725" xr:uid="{00000000-0005-0000-0000-00007D2E0000}"/>
    <cellStyle name="SAPBEXheaderItem 19 4" xfId="11726" xr:uid="{00000000-0005-0000-0000-00007E2E0000}"/>
    <cellStyle name="SAPBEXheaderItem 19 5" xfId="11727" xr:uid="{00000000-0005-0000-0000-00007F2E0000}"/>
    <cellStyle name="SAPBEXheaderItem 19 6" xfId="11728" xr:uid="{00000000-0005-0000-0000-0000802E0000}"/>
    <cellStyle name="SAPBEXheaderItem 2" xfId="11729" xr:uid="{00000000-0005-0000-0000-0000812E0000}"/>
    <cellStyle name="SAPBEXheaderItem 2 10" xfId="11730" xr:uid="{00000000-0005-0000-0000-0000822E0000}"/>
    <cellStyle name="SAPBEXheaderItem 2 10 2" xfId="11731" xr:uid="{00000000-0005-0000-0000-0000832E0000}"/>
    <cellStyle name="SAPBEXheaderItem 2 10 3" xfId="11732" xr:uid="{00000000-0005-0000-0000-0000842E0000}"/>
    <cellStyle name="SAPBEXheaderItem 2 10 4" xfId="11733" xr:uid="{00000000-0005-0000-0000-0000852E0000}"/>
    <cellStyle name="SAPBEXheaderItem 2 11" xfId="11734" xr:uid="{00000000-0005-0000-0000-0000862E0000}"/>
    <cellStyle name="SAPBEXheaderItem 2 11 2" xfId="11735" xr:uid="{00000000-0005-0000-0000-0000872E0000}"/>
    <cellStyle name="SAPBEXheaderItem 2 11 3" xfId="11736" xr:uid="{00000000-0005-0000-0000-0000882E0000}"/>
    <cellStyle name="SAPBEXheaderItem 2 11 4" xfId="11737" xr:uid="{00000000-0005-0000-0000-0000892E0000}"/>
    <cellStyle name="SAPBEXheaderItem 2 12" xfId="11738" xr:uid="{00000000-0005-0000-0000-00008A2E0000}"/>
    <cellStyle name="SAPBEXheaderItem 2 12 2" xfId="11739" xr:uid="{00000000-0005-0000-0000-00008B2E0000}"/>
    <cellStyle name="SAPBEXheaderItem 2 12 3" xfId="11740" xr:uid="{00000000-0005-0000-0000-00008C2E0000}"/>
    <cellStyle name="SAPBEXheaderItem 2 12 4" xfId="11741" xr:uid="{00000000-0005-0000-0000-00008D2E0000}"/>
    <cellStyle name="SAPBEXheaderItem 2 13" xfId="11742" xr:uid="{00000000-0005-0000-0000-00008E2E0000}"/>
    <cellStyle name="SAPBEXheaderItem 2 13 2" xfId="11743" xr:uid="{00000000-0005-0000-0000-00008F2E0000}"/>
    <cellStyle name="SAPBEXheaderItem 2 13 3" xfId="11744" xr:uid="{00000000-0005-0000-0000-0000902E0000}"/>
    <cellStyle name="SAPBEXheaderItem 2 13 4" xfId="11745" xr:uid="{00000000-0005-0000-0000-0000912E0000}"/>
    <cellStyle name="SAPBEXheaderItem 2 14" xfId="11746" xr:uid="{00000000-0005-0000-0000-0000922E0000}"/>
    <cellStyle name="SAPBEXheaderItem 2 15" xfId="11747" xr:uid="{00000000-0005-0000-0000-0000932E0000}"/>
    <cellStyle name="SAPBEXheaderItem 2 16" xfId="11748" xr:uid="{00000000-0005-0000-0000-0000942E0000}"/>
    <cellStyle name="SAPBEXheaderItem 2 17" xfId="11749" xr:uid="{00000000-0005-0000-0000-0000952E0000}"/>
    <cellStyle name="SAPBEXheaderItem 2 18" xfId="11750" xr:uid="{00000000-0005-0000-0000-0000962E0000}"/>
    <cellStyle name="SAPBEXheaderItem 2 2" xfId="11751" xr:uid="{00000000-0005-0000-0000-0000972E0000}"/>
    <cellStyle name="SAPBEXheaderItem 2 2 2" xfId="11752" xr:uid="{00000000-0005-0000-0000-0000982E0000}"/>
    <cellStyle name="SAPBEXheaderItem 2 2 2 2" xfId="11753" xr:uid="{00000000-0005-0000-0000-0000992E0000}"/>
    <cellStyle name="SAPBEXheaderItem 2 2 2 3" xfId="11754" xr:uid="{00000000-0005-0000-0000-00009A2E0000}"/>
    <cellStyle name="SAPBEXheaderItem 2 2 2 4" xfId="11755" xr:uid="{00000000-0005-0000-0000-00009B2E0000}"/>
    <cellStyle name="SAPBEXheaderItem 2 2 2 5" xfId="11756" xr:uid="{00000000-0005-0000-0000-00009C2E0000}"/>
    <cellStyle name="SAPBEXheaderItem 2 2 2 6" xfId="11757" xr:uid="{00000000-0005-0000-0000-00009D2E0000}"/>
    <cellStyle name="SAPBEXheaderItem 2 2 3" xfId="11758" xr:uid="{00000000-0005-0000-0000-00009E2E0000}"/>
    <cellStyle name="SAPBEXheaderItem 2 2 3 2" xfId="11759" xr:uid="{00000000-0005-0000-0000-00009F2E0000}"/>
    <cellStyle name="SAPBEXheaderItem 2 2 3 3" xfId="11760" xr:uid="{00000000-0005-0000-0000-0000A02E0000}"/>
    <cellStyle name="SAPBEXheaderItem 2 2 3 4" xfId="11761" xr:uid="{00000000-0005-0000-0000-0000A12E0000}"/>
    <cellStyle name="SAPBEXheaderItem 2 2 3 5" xfId="11762" xr:uid="{00000000-0005-0000-0000-0000A22E0000}"/>
    <cellStyle name="SAPBEXheaderItem 2 2 3 6" xfId="11763" xr:uid="{00000000-0005-0000-0000-0000A32E0000}"/>
    <cellStyle name="SAPBEXheaderItem 2 2 4" xfId="11764" xr:uid="{00000000-0005-0000-0000-0000A42E0000}"/>
    <cellStyle name="SAPBEXheaderItem 2 2 4 2" xfId="11765" xr:uid="{00000000-0005-0000-0000-0000A52E0000}"/>
    <cellStyle name="SAPBEXheaderItem 2 2 4 3" xfId="11766" xr:uid="{00000000-0005-0000-0000-0000A62E0000}"/>
    <cellStyle name="SAPBEXheaderItem 2 2 4 4" xfId="11767" xr:uid="{00000000-0005-0000-0000-0000A72E0000}"/>
    <cellStyle name="SAPBEXheaderItem 2 2 4 5" xfId="11768" xr:uid="{00000000-0005-0000-0000-0000A82E0000}"/>
    <cellStyle name="SAPBEXheaderItem 2 2 4 6" xfId="11769" xr:uid="{00000000-0005-0000-0000-0000A92E0000}"/>
    <cellStyle name="SAPBEXheaderItem 2 2 5" xfId="11770" xr:uid="{00000000-0005-0000-0000-0000AA2E0000}"/>
    <cellStyle name="SAPBEXheaderItem 2 2 5 2" xfId="11771" xr:uid="{00000000-0005-0000-0000-0000AB2E0000}"/>
    <cellStyle name="SAPBEXheaderItem 2 2 5 3" xfId="11772" xr:uid="{00000000-0005-0000-0000-0000AC2E0000}"/>
    <cellStyle name="SAPBEXheaderItem 2 2 5 4" xfId="11773" xr:uid="{00000000-0005-0000-0000-0000AD2E0000}"/>
    <cellStyle name="SAPBEXheaderItem 2 2 5 5" xfId="11774" xr:uid="{00000000-0005-0000-0000-0000AE2E0000}"/>
    <cellStyle name="SAPBEXheaderItem 2 2 5 6" xfId="11775" xr:uid="{00000000-0005-0000-0000-0000AF2E0000}"/>
    <cellStyle name="SAPBEXheaderItem 2 2 6" xfId="11776" xr:uid="{00000000-0005-0000-0000-0000B02E0000}"/>
    <cellStyle name="SAPBEXheaderItem 2 2 7" xfId="11777" xr:uid="{00000000-0005-0000-0000-0000B12E0000}"/>
    <cellStyle name="SAPBEXheaderItem 2 2 8" xfId="11778" xr:uid="{00000000-0005-0000-0000-0000B22E0000}"/>
    <cellStyle name="SAPBEXheaderItem 2 3" xfId="11779" xr:uid="{00000000-0005-0000-0000-0000B32E0000}"/>
    <cellStyle name="SAPBEXheaderItem 2 3 2" xfId="11780" xr:uid="{00000000-0005-0000-0000-0000B42E0000}"/>
    <cellStyle name="SAPBEXheaderItem 2 3 2 2" xfId="11781" xr:uid="{00000000-0005-0000-0000-0000B52E0000}"/>
    <cellStyle name="SAPBEXheaderItem 2 3 2 3" xfId="11782" xr:uid="{00000000-0005-0000-0000-0000B62E0000}"/>
    <cellStyle name="SAPBEXheaderItem 2 3 2 4" xfId="11783" xr:uid="{00000000-0005-0000-0000-0000B72E0000}"/>
    <cellStyle name="SAPBEXheaderItem 2 3 2 5" xfId="11784" xr:uid="{00000000-0005-0000-0000-0000B82E0000}"/>
    <cellStyle name="SAPBEXheaderItem 2 3 2 6" xfId="11785" xr:uid="{00000000-0005-0000-0000-0000B92E0000}"/>
    <cellStyle name="SAPBEXheaderItem 2 3 3" xfId="11786" xr:uid="{00000000-0005-0000-0000-0000BA2E0000}"/>
    <cellStyle name="SAPBEXheaderItem 2 3 3 2" xfId="11787" xr:uid="{00000000-0005-0000-0000-0000BB2E0000}"/>
    <cellStyle name="SAPBEXheaderItem 2 3 3 3" xfId="11788" xr:uid="{00000000-0005-0000-0000-0000BC2E0000}"/>
    <cellStyle name="SAPBEXheaderItem 2 3 3 4" xfId="11789" xr:uid="{00000000-0005-0000-0000-0000BD2E0000}"/>
    <cellStyle name="SAPBEXheaderItem 2 3 3 5" xfId="11790" xr:uid="{00000000-0005-0000-0000-0000BE2E0000}"/>
    <cellStyle name="SAPBEXheaderItem 2 3 3 6" xfId="11791" xr:uid="{00000000-0005-0000-0000-0000BF2E0000}"/>
    <cellStyle name="SAPBEXheaderItem 2 3 4" xfId="11792" xr:uid="{00000000-0005-0000-0000-0000C02E0000}"/>
    <cellStyle name="SAPBEXheaderItem 2 3 4 2" xfId="11793" xr:uid="{00000000-0005-0000-0000-0000C12E0000}"/>
    <cellStyle name="SAPBEXheaderItem 2 3 4 3" xfId="11794" xr:uid="{00000000-0005-0000-0000-0000C22E0000}"/>
    <cellStyle name="SAPBEXheaderItem 2 3 4 4" xfId="11795" xr:uid="{00000000-0005-0000-0000-0000C32E0000}"/>
    <cellStyle name="SAPBEXheaderItem 2 3 4 5" xfId="11796" xr:uid="{00000000-0005-0000-0000-0000C42E0000}"/>
    <cellStyle name="SAPBEXheaderItem 2 3 4 6" xfId="11797" xr:uid="{00000000-0005-0000-0000-0000C52E0000}"/>
    <cellStyle name="SAPBEXheaderItem 2 3 5" xfId="11798" xr:uid="{00000000-0005-0000-0000-0000C62E0000}"/>
    <cellStyle name="SAPBEXheaderItem 2 3 5 2" xfId="11799" xr:uid="{00000000-0005-0000-0000-0000C72E0000}"/>
    <cellStyle name="SAPBEXheaderItem 2 3 5 3" xfId="11800" xr:uid="{00000000-0005-0000-0000-0000C82E0000}"/>
    <cellStyle name="SAPBEXheaderItem 2 3 5 4" xfId="11801" xr:uid="{00000000-0005-0000-0000-0000C92E0000}"/>
    <cellStyle name="SAPBEXheaderItem 2 3 5 5" xfId="11802" xr:uid="{00000000-0005-0000-0000-0000CA2E0000}"/>
    <cellStyle name="SAPBEXheaderItem 2 3 5 6" xfId="11803" xr:uid="{00000000-0005-0000-0000-0000CB2E0000}"/>
    <cellStyle name="SAPBEXheaderItem 2 3 6" xfId="11804" xr:uid="{00000000-0005-0000-0000-0000CC2E0000}"/>
    <cellStyle name="SAPBEXheaderItem 2 3 7" xfId="11805" xr:uid="{00000000-0005-0000-0000-0000CD2E0000}"/>
    <cellStyle name="SAPBEXheaderItem 2 3 8" xfId="11806" xr:uid="{00000000-0005-0000-0000-0000CE2E0000}"/>
    <cellStyle name="SAPBEXheaderItem 2 4" xfId="11807" xr:uid="{00000000-0005-0000-0000-0000CF2E0000}"/>
    <cellStyle name="SAPBEXheaderItem 2 4 2" xfId="11808" xr:uid="{00000000-0005-0000-0000-0000D02E0000}"/>
    <cellStyle name="SAPBEXheaderItem 2 4 2 2" xfId="11809" xr:uid="{00000000-0005-0000-0000-0000D12E0000}"/>
    <cellStyle name="SAPBEXheaderItem 2 4 2 3" xfId="11810" xr:uid="{00000000-0005-0000-0000-0000D22E0000}"/>
    <cellStyle name="SAPBEXheaderItem 2 4 2 4" xfId="11811" xr:uid="{00000000-0005-0000-0000-0000D32E0000}"/>
    <cellStyle name="SAPBEXheaderItem 2 4 2 5" xfId="11812" xr:uid="{00000000-0005-0000-0000-0000D42E0000}"/>
    <cellStyle name="SAPBEXheaderItem 2 4 2 6" xfId="11813" xr:uid="{00000000-0005-0000-0000-0000D52E0000}"/>
    <cellStyle name="SAPBEXheaderItem 2 4 3" xfId="11814" xr:uid="{00000000-0005-0000-0000-0000D62E0000}"/>
    <cellStyle name="SAPBEXheaderItem 2 4 3 2" xfId="11815" xr:uid="{00000000-0005-0000-0000-0000D72E0000}"/>
    <cellStyle name="SAPBEXheaderItem 2 4 3 3" xfId="11816" xr:uid="{00000000-0005-0000-0000-0000D82E0000}"/>
    <cellStyle name="SAPBEXheaderItem 2 4 3 4" xfId="11817" xr:uid="{00000000-0005-0000-0000-0000D92E0000}"/>
    <cellStyle name="SAPBEXheaderItem 2 4 3 5" xfId="11818" xr:uid="{00000000-0005-0000-0000-0000DA2E0000}"/>
    <cellStyle name="SAPBEXheaderItem 2 4 3 6" xfId="11819" xr:uid="{00000000-0005-0000-0000-0000DB2E0000}"/>
    <cellStyle name="SAPBEXheaderItem 2 4 4" xfId="11820" xr:uid="{00000000-0005-0000-0000-0000DC2E0000}"/>
    <cellStyle name="SAPBEXheaderItem 2 4 4 2" xfId="11821" xr:uid="{00000000-0005-0000-0000-0000DD2E0000}"/>
    <cellStyle name="SAPBEXheaderItem 2 4 4 3" xfId="11822" xr:uid="{00000000-0005-0000-0000-0000DE2E0000}"/>
    <cellStyle name="SAPBEXheaderItem 2 4 4 4" xfId="11823" xr:uid="{00000000-0005-0000-0000-0000DF2E0000}"/>
    <cellStyle name="SAPBEXheaderItem 2 4 4 5" xfId="11824" xr:uid="{00000000-0005-0000-0000-0000E02E0000}"/>
    <cellStyle name="SAPBEXheaderItem 2 4 4 6" xfId="11825" xr:uid="{00000000-0005-0000-0000-0000E12E0000}"/>
    <cellStyle name="SAPBEXheaderItem 2 4 5" xfId="11826" xr:uid="{00000000-0005-0000-0000-0000E22E0000}"/>
    <cellStyle name="SAPBEXheaderItem 2 4 5 2" xfId="11827" xr:uid="{00000000-0005-0000-0000-0000E32E0000}"/>
    <cellStyle name="SAPBEXheaderItem 2 4 5 3" xfId="11828" xr:uid="{00000000-0005-0000-0000-0000E42E0000}"/>
    <cellStyle name="SAPBEXheaderItem 2 4 5 4" xfId="11829" xr:uid="{00000000-0005-0000-0000-0000E52E0000}"/>
    <cellStyle name="SAPBEXheaderItem 2 4 5 5" xfId="11830" xr:uid="{00000000-0005-0000-0000-0000E62E0000}"/>
    <cellStyle name="SAPBEXheaderItem 2 4 5 6" xfId="11831" xr:uid="{00000000-0005-0000-0000-0000E72E0000}"/>
    <cellStyle name="SAPBEXheaderItem 2 4 6" xfId="11832" xr:uid="{00000000-0005-0000-0000-0000E82E0000}"/>
    <cellStyle name="SAPBEXheaderItem 2 4 7" xfId="11833" xr:uid="{00000000-0005-0000-0000-0000E92E0000}"/>
    <cellStyle name="SAPBEXheaderItem 2 4 8" xfId="11834" xr:uid="{00000000-0005-0000-0000-0000EA2E0000}"/>
    <cellStyle name="SAPBEXheaderItem 2 5" xfId="11835" xr:uid="{00000000-0005-0000-0000-0000EB2E0000}"/>
    <cellStyle name="SAPBEXheaderItem 2 5 2" xfId="11836" xr:uid="{00000000-0005-0000-0000-0000EC2E0000}"/>
    <cellStyle name="SAPBEXheaderItem 2 5 3" xfId="11837" xr:uid="{00000000-0005-0000-0000-0000ED2E0000}"/>
    <cellStyle name="SAPBEXheaderItem 2 5 4" xfId="11838" xr:uid="{00000000-0005-0000-0000-0000EE2E0000}"/>
    <cellStyle name="SAPBEXheaderItem 2 6" xfId="11839" xr:uid="{00000000-0005-0000-0000-0000EF2E0000}"/>
    <cellStyle name="SAPBEXheaderItem 2 6 2" xfId="11840" xr:uid="{00000000-0005-0000-0000-0000F02E0000}"/>
    <cellStyle name="SAPBEXheaderItem 2 6 3" xfId="11841" xr:uid="{00000000-0005-0000-0000-0000F12E0000}"/>
    <cellStyle name="SAPBEXheaderItem 2 6 4" xfId="11842" xr:uid="{00000000-0005-0000-0000-0000F22E0000}"/>
    <cellStyle name="SAPBEXheaderItem 2 7" xfId="11843" xr:uid="{00000000-0005-0000-0000-0000F32E0000}"/>
    <cellStyle name="SAPBEXheaderItem 2 7 2" xfId="11844" xr:uid="{00000000-0005-0000-0000-0000F42E0000}"/>
    <cellStyle name="SAPBEXheaderItem 2 7 3" xfId="11845" xr:uid="{00000000-0005-0000-0000-0000F52E0000}"/>
    <cellStyle name="SAPBEXheaderItem 2 7 4" xfId="11846" xr:uid="{00000000-0005-0000-0000-0000F62E0000}"/>
    <cellStyle name="SAPBEXheaderItem 2 8" xfId="11847" xr:uid="{00000000-0005-0000-0000-0000F72E0000}"/>
    <cellStyle name="SAPBEXheaderItem 2 8 2" xfId="11848" xr:uid="{00000000-0005-0000-0000-0000F82E0000}"/>
    <cellStyle name="SAPBEXheaderItem 2 8 3" xfId="11849" xr:uid="{00000000-0005-0000-0000-0000F92E0000}"/>
    <cellStyle name="SAPBEXheaderItem 2 8 4" xfId="11850" xr:uid="{00000000-0005-0000-0000-0000FA2E0000}"/>
    <cellStyle name="SAPBEXheaderItem 2 9" xfId="11851" xr:uid="{00000000-0005-0000-0000-0000FB2E0000}"/>
    <cellStyle name="SAPBEXheaderItem 2 9 2" xfId="11852" xr:uid="{00000000-0005-0000-0000-0000FC2E0000}"/>
    <cellStyle name="SAPBEXheaderItem 2 9 3" xfId="11853" xr:uid="{00000000-0005-0000-0000-0000FD2E0000}"/>
    <cellStyle name="SAPBEXheaderItem 2 9 4" xfId="11854" xr:uid="{00000000-0005-0000-0000-0000FE2E0000}"/>
    <cellStyle name="SAPBEXheaderItem 20" xfId="11855" xr:uid="{00000000-0005-0000-0000-0000FF2E0000}"/>
    <cellStyle name="SAPBEXheaderItem 20 2" xfId="11856" xr:uid="{00000000-0005-0000-0000-0000002F0000}"/>
    <cellStyle name="SAPBEXheaderItem 20 3" xfId="11857" xr:uid="{00000000-0005-0000-0000-0000012F0000}"/>
    <cellStyle name="SAPBEXheaderItem 20 4" xfId="11858" xr:uid="{00000000-0005-0000-0000-0000022F0000}"/>
    <cellStyle name="SAPBEXheaderItem 20 5" xfId="11859" xr:uid="{00000000-0005-0000-0000-0000032F0000}"/>
    <cellStyle name="SAPBEXheaderItem 20 6" xfId="11860" xr:uid="{00000000-0005-0000-0000-0000042F0000}"/>
    <cellStyle name="SAPBEXheaderItem 21" xfId="11861" xr:uid="{00000000-0005-0000-0000-0000052F0000}"/>
    <cellStyle name="SAPBEXheaderItem 21 2" xfId="11862" xr:uid="{00000000-0005-0000-0000-0000062F0000}"/>
    <cellStyle name="SAPBEXheaderItem 21 3" xfId="11863" xr:uid="{00000000-0005-0000-0000-0000072F0000}"/>
    <cellStyle name="SAPBEXheaderItem 21 4" xfId="11864" xr:uid="{00000000-0005-0000-0000-0000082F0000}"/>
    <cellStyle name="SAPBEXheaderItem 21 5" xfId="11865" xr:uid="{00000000-0005-0000-0000-0000092F0000}"/>
    <cellStyle name="SAPBEXheaderItem 21 6" xfId="11866" xr:uid="{00000000-0005-0000-0000-00000A2F0000}"/>
    <cellStyle name="SAPBEXheaderItem 22" xfId="11867" xr:uid="{00000000-0005-0000-0000-00000B2F0000}"/>
    <cellStyle name="SAPBEXheaderItem 22 2" xfId="11868" xr:uid="{00000000-0005-0000-0000-00000C2F0000}"/>
    <cellStyle name="SAPBEXheaderItem 22 3" xfId="11869" xr:uid="{00000000-0005-0000-0000-00000D2F0000}"/>
    <cellStyle name="SAPBEXheaderItem 22 4" xfId="11870" xr:uid="{00000000-0005-0000-0000-00000E2F0000}"/>
    <cellStyle name="SAPBEXheaderItem 22 5" xfId="11871" xr:uid="{00000000-0005-0000-0000-00000F2F0000}"/>
    <cellStyle name="SAPBEXheaderItem 22 6" xfId="11872" xr:uid="{00000000-0005-0000-0000-0000102F0000}"/>
    <cellStyle name="SAPBEXheaderItem 23" xfId="11873" xr:uid="{00000000-0005-0000-0000-0000112F0000}"/>
    <cellStyle name="SAPBEXheaderItem 23 2" xfId="11874" xr:uid="{00000000-0005-0000-0000-0000122F0000}"/>
    <cellStyle name="SAPBEXheaderItem 23 3" xfId="11875" xr:uid="{00000000-0005-0000-0000-0000132F0000}"/>
    <cellStyle name="SAPBEXheaderItem 23 4" xfId="11876" xr:uid="{00000000-0005-0000-0000-0000142F0000}"/>
    <cellStyle name="SAPBEXheaderItem 23 5" xfId="11877" xr:uid="{00000000-0005-0000-0000-0000152F0000}"/>
    <cellStyle name="SAPBEXheaderItem 23 6" xfId="11878" xr:uid="{00000000-0005-0000-0000-0000162F0000}"/>
    <cellStyle name="SAPBEXheaderItem 24" xfId="11879" xr:uid="{00000000-0005-0000-0000-0000172F0000}"/>
    <cellStyle name="SAPBEXheaderItem 24 2" xfId="11880" xr:uid="{00000000-0005-0000-0000-0000182F0000}"/>
    <cellStyle name="SAPBEXheaderItem 24 3" xfId="11881" xr:uid="{00000000-0005-0000-0000-0000192F0000}"/>
    <cellStyle name="SAPBEXheaderItem 24 4" xfId="11882" xr:uid="{00000000-0005-0000-0000-00001A2F0000}"/>
    <cellStyle name="SAPBEXheaderItem 24 5" xfId="11883" xr:uid="{00000000-0005-0000-0000-00001B2F0000}"/>
    <cellStyle name="SAPBEXheaderItem 24 6" xfId="11884" xr:uid="{00000000-0005-0000-0000-00001C2F0000}"/>
    <cellStyle name="SAPBEXheaderItem 25" xfId="11885" xr:uid="{00000000-0005-0000-0000-00001D2F0000}"/>
    <cellStyle name="SAPBEXheaderItem 25 2" xfId="11886" xr:uid="{00000000-0005-0000-0000-00001E2F0000}"/>
    <cellStyle name="SAPBEXheaderItem 25 3" xfId="11887" xr:uid="{00000000-0005-0000-0000-00001F2F0000}"/>
    <cellStyle name="SAPBEXheaderItem 25 4" xfId="11888" xr:uid="{00000000-0005-0000-0000-0000202F0000}"/>
    <cellStyle name="SAPBEXheaderItem 25 5" xfId="11889" xr:uid="{00000000-0005-0000-0000-0000212F0000}"/>
    <cellStyle name="SAPBEXheaderItem 25 6" xfId="11890" xr:uid="{00000000-0005-0000-0000-0000222F0000}"/>
    <cellStyle name="SAPBEXheaderItem 26" xfId="11891" xr:uid="{00000000-0005-0000-0000-0000232F0000}"/>
    <cellStyle name="SAPBEXheaderItem 26 2" xfId="11892" xr:uid="{00000000-0005-0000-0000-0000242F0000}"/>
    <cellStyle name="SAPBEXheaderItem 26 3" xfId="11893" xr:uid="{00000000-0005-0000-0000-0000252F0000}"/>
    <cellStyle name="SAPBEXheaderItem 26 4" xfId="11894" xr:uid="{00000000-0005-0000-0000-0000262F0000}"/>
    <cellStyle name="SAPBEXheaderItem 26 5" xfId="11895" xr:uid="{00000000-0005-0000-0000-0000272F0000}"/>
    <cellStyle name="SAPBEXheaderItem 26 6" xfId="11896" xr:uid="{00000000-0005-0000-0000-0000282F0000}"/>
    <cellStyle name="SAPBEXheaderItem 27" xfId="11897" xr:uid="{00000000-0005-0000-0000-0000292F0000}"/>
    <cellStyle name="SAPBEXheaderItem 27 2" xfId="11898" xr:uid="{00000000-0005-0000-0000-00002A2F0000}"/>
    <cellStyle name="SAPBEXheaderItem 27 3" xfId="11899" xr:uid="{00000000-0005-0000-0000-00002B2F0000}"/>
    <cellStyle name="SAPBEXheaderItem 27 4" xfId="11900" xr:uid="{00000000-0005-0000-0000-00002C2F0000}"/>
    <cellStyle name="SAPBEXheaderItem 27 5" xfId="11901" xr:uid="{00000000-0005-0000-0000-00002D2F0000}"/>
    <cellStyle name="SAPBEXheaderItem 27 6" xfId="11902" xr:uid="{00000000-0005-0000-0000-00002E2F0000}"/>
    <cellStyle name="SAPBEXheaderItem 28" xfId="11903" xr:uid="{00000000-0005-0000-0000-00002F2F0000}"/>
    <cellStyle name="SAPBEXheaderItem 28 2" xfId="11904" xr:uid="{00000000-0005-0000-0000-0000302F0000}"/>
    <cellStyle name="SAPBEXheaderItem 28 3" xfId="11905" xr:uid="{00000000-0005-0000-0000-0000312F0000}"/>
    <cellStyle name="SAPBEXheaderItem 28 4" xfId="11906" xr:uid="{00000000-0005-0000-0000-0000322F0000}"/>
    <cellStyle name="SAPBEXheaderItem 28 5" xfId="11907" xr:uid="{00000000-0005-0000-0000-0000332F0000}"/>
    <cellStyle name="SAPBEXheaderItem 28 6" xfId="11908" xr:uid="{00000000-0005-0000-0000-0000342F0000}"/>
    <cellStyle name="SAPBEXheaderItem 29" xfId="11909" xr:uid="{00000000-0005-0000-0000-0000352F0000}"/>
    <cellStyle name="SAPBEXheaderItem 29 2" xfId="11910" xr:uid="{00000000-0005-0000-0000-0000362F0000}"/>
    <cellStyle name="SAPBEXheaderItem 29 3" xfId="11911" xr:uid="{00000000-0005-0000-0000-0000372F0000}"/>
    <cellStyle name="SAPBEXheaderItem 29 4" xfId="11912" xr:uid="{00000000-0005-0000-0000-0000382F0000}"/>
    <cellStyle name="SAPBEXheaderItem 29 5" xfId="11913" xr:uid="{00000000-0005-0000-0000-0000392F0000}"/>
    <cellStyle name="SAPBEXheaderItem 29 6" xfId="11914" xr:uid="{00000000-0005-0000-0000-00003A2F0000}"/>
    <cellStyle name="SAPBEXheaderItem 3" xfId="11915" xr:uid="{00000000-0005-0000-0000-00003B2F0000}"/>
    <cellStyle name="SAPBEXheaderItem 3 10" xfId="11916" xr:uid="{00000000-0005-0000-0000-00003C2F0000}"/>
    <cellStyle name="SAPBEXheaderItem 3 11" xfId="11917" xr:uid="{00000000-0005-0000-0000-00003D2F0000}"/>
    <cellStyle name="SAPBEXheaderItem 3 12" xfId="11918" xr:uid="{00000000-0005-0000-0000-00003E2F0000}"/>
    <cellStyle name="SAPBEXheaderItem 3 2" xfId="11919" xr:uid="{00000000-0005-0000-0000-00003F2F0000}"/>
    <cellStyle name="SAPBEXheaderItem 3 2 2" xfId="11920" xr:uid="{00000000-0005-0000-0000-0000402F0000}"/>
    <cellStyle name="SAPBEXheaderItem 3 2 2 2" xfId="11921" xr:uid="{00000000-0005-0000-0000-0000412F0000}"/>
    <cellStyle name="SAPBEXheaderItem 3 2 2 3" xfId="11922" xr:uid="{00000000-0005-0000-0000-0000422F0000}"/>
    <cellStyle name="SAPBEXheaderItem 3 2 2 4" xfId="11923" xr:uid="{00000000-0005-0000-0000-0000432F0000}"/>
    <cellStyle name="SAPBEXheaderItem 3 2 2 5" xfId="11924" xr:uid="{00000000-0005-0000-0000-0000442F0000}"/>
    <cellStyle name="SAPBEXheaderItem 3 2 2 6" xfId="11925" xr:uid="{00000000-0005-0000-0000-0000452F0000}"/>
    <cellStyle name="SAPBEXheaderItem 3 2 3" xfId="11926" xr:uid="{00000000-0005-0000-0000-0000462F0000}"/>
    <cellStyle name="SAPBEXheaderItem 3 2 3 2" xfId="11927" xr:uid="{00000000-0005-0000-0000-0000472F0000}"/>
    <cellStyle name="SAPBEXheaderItem 3 2 3 3" xfId="11928" xr:uid="{00000000-0005-0000-0000-0000482F0000}"/>
    <cellStyle name="SAPBEXheaderItem 3 2 3 4" xfId="11929" xr:uid="{00000000-0005-0000-0000-0000492F0000}"/>
    <cellStyle name="SAPBEXheaderItem 3 2 3 5" xfId="11930" xr:uid="{00000000-0005-0000-0000-00004A2F0000}"/>
    <cellStyle name="SAPBEXheaderItem 3 2 3 6" xfId="11931" xr:uid="{00000000-0005-0000-0000-00004B2F0000}"/>
    <cellStyle name="SAPBEXheaderItem 3 2 4" xfId="11932" xr:uid="{00000000-0005-0000-0000-00004C2F0000}"/>
    <cellStyle name="SAPBEXheaderItem 3 2 4 2" xfId="11933" xr:uid="{00000000-0005-0000-0000-00004D2F0000}"/>
    <cellStyle name="SAPBEXheaderItem 3 2 4 3" xfId="11934" xr:uid="{00000000-0005-0000-0000-00004E2F0000}"/>
    <cellStyle name="SAPBEXheaderItem 3 2 4 4" xfId="11935" xr:uid="{00000000-0005-0000-0000-00004F2F0000}"/>
    <cellStyle name="SAPBEXheaderItem 3 2 4 5" xfId="11936" xr:uid="{00000000-0005-0000-0000-0000502F0000}"/>
    <cellStyle name="SAPBEXheaderItem 3 2 4 6" xfId="11937" xr:uid="{00000000-0005-0000-0000-0000512F0000}"/>
    <cellStyle name="SAPBEXheaderItem 3 2 5" xfId="11938" xr:uid="{00000000-0005-0000-0000-0000522F0000}"/>
    <cellStyle name="SAPBEXheaderItem 3 2 5 2" xfId="11939" xr:uid="{00000000-0005-0000-0000-0000532F0000}"/>
    <cellStyle name="SAPBEXheaderItem 3 2 5 3" xfId="11940" xr:uid="{00000000-0005-0000-0000-0000542F0000}"/>
    <cellStyle name="SAPBEXheaderItem 3 2 5 4" xfId="11941" xr:uid="{00000000-0005-0000-0000-0000552F0000}"/>
    <cellStyle name="SAPBEXheaderItem 3 2 5 5" xfId="11942" xr:uid="{00000000-0005-0000-0000-0000562F0000}"/>
    <cellStyle name="SAPBEXheaderItem 3 2 5 6" xfId="11943" xr:uid="{00000000-0005-0000-0000-0000572F0000}"/>
    <cellStyle name="SAPBEXheaderItem 3 2 6" xfId="11944" xr:uid="{00000000-0005-0000-0000-0000582F0000}"/>
    <cellStyle name="SAPBEXheaderItem 3 2 7" xfId="11945" xr:uid="{00000000-0005-0000-0000-0000592F0000}"/>
    <cellStyle name="SAPBEXheaderItem 3 2 8" xfId="11946" xr:uid="{00000000-0005-0000-0000-00005A2F0000}"/>
    <cellStyle name="SAPBEXheaderItem 3 3" xfId="11947" xr:uid="{00000000-0005-0000-0000-00005B2F0000}"/>
    <cellStyle name="SAPBEXheaderItem 3 3 2" xfId="11948" xr:uid="{00000000-0005-0000-0000-00005C2F0000}"/>
    <cellStyle name="SAPBEXheaderItem 3 3 3" xfId="11949" xr:uid="{00000000-0005-0000-0000-00005D2F0000}"/>
    <cellStyle name="SAPBEXheaderItem 3 3 4" xfId="11950" xr:uid="{00000000-0005-0000-0000-00005E2F0000}"/>
    <cellStyle name="SAPBEXheaderItem 3 3 5" xfId="11951" xr:uid="{00000000-0005-0000-0000-00005F2F0000}"/>
    <cellStyle name="SAPBEXheaderItem 3 3 6" xfId="11952" xr:uid="{00000000-0005-0000-0000-0000602F0000}"/>
    <cellStyle name="SAPBEXheaderItem 3 4" xfId="11953" xr:uid="{00000000-0005-0000-0000-0000612F0000}"/>
    <cellStyle name="SAPBEXheaderItem 3 4 2" xfId="11954" xr:uid="{00000000-0005-0000-0000-0000622F0000}"/>
    <cellStyle name="SAPBEXheaderItem 3 4 3" xfId="11955" xr:uid="{00000000-0005-0000-0000-0000632F0000}"/>
    <cellStyle name="SAPBEXheaderItem 3 4 4" xfId="11956" xr:uid="{00000000-0005-0000-0000-0000642F0000}"/>
    <cellStyle name="SAPBEXheaderItem 3 4 5" xfId="11957" xr:uid="{00000000-0005-0000-0000-0000652F0000}"/>
    <cellStyle name="SAPBEXheaderItem 3 4 6" xfId="11958" xr:uid="{00000000-0005-0000-0000-0000662F0000}"/>
    <cellStyle name="SAPBEXheaderItem 3 5" xfId="11959" xr:uid="{00000000-0005-0000-0000-0000672F0000}"/>
    <cellStyle name="SAPBEXheaderItem 3 5 2" xfId="11960" xr:uid="{00000000-0005-0000-0000-0000682F0000}"/>
    <cellStyle name="SAPBEXheaderItem 3 5 3" xfId="11961" xr:uid="{00000000-0005-0000-0000-0000692F0000}"/>
    <cellStyle name="SAPBEXheaderItem 3 5 4" xfId="11962" xr:uid="{00000000-0005-0000-0000-00006A2F0000}"/>
    <cellStyle name="SAPBEXheaderItem 3 6" xfId="11963" xr:uid="{00000000-0005-0000-0000-00006B2F0000}"/>
    <cellStyle name="SAPBEXheaderItem 3 6 2" xfId="11964" xr:uid="{00000000-0005-0000-0000-00006C2F0000}"/>
    <cellStyle name="SAPBEXheaderItem 3 6 3" xfId="11965" xr:uid="{00000000-0005-0000-0000-00006D2F0000}"/>
    <cellStyle name="SAPBEXheaderItem 3 6 4" xfId="11966" xr:uid="{00000000-0005-0000-0000-00006E2F0000}"/>
    <cellStyle name="SAPBEXheaderItem 3 7" xfId="11967" xr:uid="{00000000-0005-0000-0000-00006F2F0000}"/>
    <cellStyle name="SAPBEXheaderItem 3 7 2" xfId="11968" xr:uid="{00000000-0005-0000-0000-0000702F0000}"/>
    <cellStyle name="SAPBEXheaderItem 3 7 3" xfId="11969" xr:uid="{00000000-0005-0000-0000-0000712F0000}"/>
    <cellStyle name="SAPBEXheaderItem 3 7 4" xfId="11970" xr:uid="{00000000-0005-0000-0000-0000722F0000}"/>
    <cellStyle name="SAPBEXheaderItem 3 8" xfId="11971" xr:uid="{00000000-0005-0000-0000-0000732F0000}"/>
    <cellStyle name="SAPBEXheaderItem 3 9" xfId="11972" xr:uid="{00000000-0005-0000-0000-0000742F0000}"/>
    <cellStyle name="SAPBEXheaderItem 30" xfId="11973" xr:uid="{00000000-0005-0000-0000-0000752F0000}"/>
    <cellStyle name="SAPBEXheaderItem 30 2" xfId="11974" xr:uid="{00000000-0005-0000-0000-0000762F0000}"/>
    <cellStyle name="SAPBEXheaderItem 30 3" xfId="11975" xr:uid="{00000000-0005-0000-0000-0000772F0000}"/>
    <cellStyle name="SAPBEXheaderItem 30 4" xfId="11976" xr:uid="{00000000-0005-0000-0000-0000782F0000}"/>
    <cellStyle name="SAPBEXheaderItem 30 5" xfId="11977" xr:uid="{00000000-0005-0000-0000-0000792F0000}"/>
    <cellStyle name="SAPBEXheaderItem 30 6" xfId="11978" xr:uid="{00000000-0005-0000-0000-00007A2F0000}"/>
    <cellStyle name="SAPBEXheaderItem 31" xfId="11979" xr:uid="{00000000-0005-0000-0000-00007B2F0000}"/>
    <cellStyle name="SAPBEXheaderItem 31 2" xfId="11980" xr:uid="{00000000-0005-0000-0000-00007C2F0000}"/>
    <cellStyle name="SAPBEXheaderItem 31 3" xfId="11981" xr:uid="{00000000-0005-0000-0000-00007D2F0000}"/>
    <cellStyle name="SAPBEXheaderItem 31 4" xfId="11982" xr:uid="{00000000-0005-0000-0000-00007E2F0000}"/>
    <cellStyle name="SAPBEXheaderItem 31 5" xfId="11983" xr:uid="{00000000-0005-0000-0000-00007F2F0000}"/>
    <cellStyle name="SAPBEXheaderItem 31 6" xfId="11984" xr:uid="{00000000-0005-0000-0000-0000802F0000}"/>
    <cellStyle name="SAPBEXheaderItem 32" xfId="11985" xr:uid="{00000000-0005-0000-0000-0000812F0000}"/>
    <cellStyle name="SAPBEXheaderItem 32 2" xfId="11986" xr:uid="{00000000-0005-0000-0000-0000822F0000}"/>
    <cellStyle name="SAPBEXheaderItem 32 3" xfId="11987" xr:uid="{00000000-0005-0000-0000-0000832F0000}"/>
    <cellStyle name="SAPBEXheaderItem 32 4" xfId="11988" xr:uid="{00000000-0005-0000-0000-0000842F0000}"/>
    <cellStyle name="SAPBEXheaderItem 32 5" xfId="11989" xr:uid="{00000000-0005-0000-0000-0000852F0000}"/>
    <cellStyle name="SAPBEXheaderItem 32 6" xfId="11990" xr:uid="{00000000-0005-0000-0000-0000862F0000}"/>
    <cellStyle name="SAPBEXheaderItem 33" xfId="11991" xr:uid="{00000000-0005-0000-0000-0000872F0000}"/>
    <cellStyle name="SAPBEXheaderItem 34" xfId="11992" xr:uid="{00000000-0005-0000-0000-0000882F0000}"/>
    <cellStyle name="SAPBEXheaderItem 35" xfId="11993" xr:uid="{00000000-0005-0000-0000-0000892F0000}"/>
    <cellStyle name="SAPBEXheaderItem 36" xfId="11994" xr:uid="{00000000-0005-0000-0000-00008A2F0000}"/>
    <cellStyle name="SAPBEXheaderItem 37" xfId="11995" xr:uid="{00000000-0005-0000-0000-00008B2F0000}"/>
    <cellStyle name="SAPBEXheaderItem 38" xfId="11996" xr:uid="{00000000-0005-0000-0000-00008C2F0000}"/>
    <cellStyle name="SAPBEXheaderItem 39" xfId="11997" xr:uid="{00000000-0005-0000-0000-00008D2F0000}"/>
    <cellStyle name="SAPBEXheaderItem 4" xfId="11998" xr:uid="{00000000-0005-0000-0000-00008E2F0000}"/>
    <cellStyle name="SAPBEXheaderItem 4 2" xfId="11999" xr:uid="{00000000-0005-0000-0000-00008F2F0000}"/>
    <cellStyle name="SAPBEXheaderItem 4 3" xfId="12000" xr:uid="{00000000-0005-0000-0000-0000902F0000}"/>
    <cellStyle name="SAPBEXheaderItem 4 4" xfId="12001" xr:uid="{00000000-0005-0000-0000-0000912F0000}"/>
    <cellStyle name="SAPBEXheaderItem 4 5" xfId="12002" xr:uid="{00000000-0005-0000-0000-0000922F0000}"/>
    <cellStyle name="SAPBEXheaderItem 4 6" xfId="12003" xr:uid="{00000000-0005-0000-0000-0000932F0000}"/>
    <cellStyle name="SAPBEXheaderItem 40" xfId="12004" xr:uid="{00000000-0005-0000-0000-0000942F0000}"/>
    <cellStyle name="SAPBEXheaderItem 41" xfId="12005" xr:uid="{00000000-0005-0000-0000-0000952F0000}"/>
    <cellStyle name="SAPBEXheaderItem 42" xfId="12006" xr:uid="{00000000-0005-0000-0000-0000962F0000}"/>
    <cellStyle name="SAPBEXheaderItem 43" xfId="12007" xr:uid="{00000000-0005-0000-0000-0000972F0000}"/>
    <cellStyle name="SAPBEXheaderItem 44" xfId="12008" xr:uid="{00000000-0005-0000-0000-0000982F0000}"/>
    <cellStyle name="SAPBEXheaderItem 45" xfId="12009" xr:uid="{00000000-0005-0000-0000-0000992F0000}"/>
    <cellStyle name="SAPBEXheaderItem 46" xfId="12010" xr:uid="{00000000-0005-0000-0000-00009A2F0000}"/>
    <cellStyle name="SAPBEXheaderItem 47" xfId="12011" xr:uid="{00000000-0005-0000-0000-00009B2F0000}"/>
    <cellStyle name="SAPBEXheaderItem 48" xfId="12012" xr:uid="{00000000-0005-0000-0000-00009C2F0000}"/>
    <cellStyle name="SAPBEXheaderItem 49" xfId="12013" xr:uid="{00000000-0005-0000-0000-00009D2F0000}"/>
    <cellStyle name="SAPBEXheaderItem 5" xfId="12014" xr:uid="{00000000-0005-0000-0000-00009E2F0000}"/>
    <cellStyle name="SAPBEXheaderItem 5 2" xfId="12015" xr:uid="{00000000-0005-0000-0000-00009F2F0000}"/>
    <cellStyle name="SAPBEXheaderItem 5 3" xfId="12016" xr:uid="{00000000-0005-0000-0000-0000A02F0000}"/>
    <cellStyle name="SAPBEXheaderItem 5 4" xfId="12017" xr:uid="{00000000-0005-0000-0000-0000A12F0000}"/>
    <cellStyle name="SAPBEXheaderItem 5 5" xfId="12018" xr:uid="{00000000-0005-0000-0000-0000A22F0000}"/>
    <cellStyle name="SAPBEXheaderItem 5 6" xfId="12019" xr:uid="{00000000-0005-0000-0000-0000A32F0000}"/>
    <cellStyle name="SAPBEXheaderItem 50" xfId="12020" xr:uid="{00000000-0005-0000-0000-0000A42F0000}"/>
    <cellStyle name="SAPBEXheaderItem 51" xfId="12021" xr:uid="{00000000-0005-0000-0000-0000A52F0000}"/>
    <cellStyle name="SAPBEXheaderItem 52" xfId="12022" xr:uid="{00000000-0005-0000-0000-0000A62F0000}"/>
    <cellStyle name="SAPBEXheaderItem 53" xfId="12023" xr:uid="{00000000-0005-0000-0000-0000A72F0000}"/>
    <cellStyle name="SAPBEXheaderItem 54" xfId="12024" xr:uid="{00000000-0005-0000-0000-0000A82F0000}"/>
    <cellStyle name="SAPBEXheaderItem 55" xfId="12025" xr:uid="{00000000-0005-0000-0000-0000A92F0000}"/>
    <cellStyle name="SAPBEXheaderItem 56" xfId="12026" xr:uid="{00000000-0005-0000-0000-0000AA2F0000}"/>
    <cellStyle name="SAPBEXheaderItem 57" xfId="12027" xr:uid="{00000000-0005-0000-0000-0000AB2F0000}"/>
    <cellStyle name="SAPBEXheaderItem 58" xfId="12028" xr:uid="{00000000-0005-0000-0000-0000AC2F0000}"/>
    <cellStyle name="SAPBEXheaderItem 59" xfId="12029" xr:uid="{00000000-0005-0000-0000-0000AD2F0000}"/>
    <cellStyle name="SAPBEXheaderItem 6" xfId="12030" xr:uid="{00000000-0005-0000-0000-0000AE2F0000}"/>
    <cellStyle name="SAPBEXheaderItem 6 10" xfId="12031" xr:uid="{00000000-0005-0000-0000-0000AF2F0000}"/>
    <cellStyle name="SAPBEXheaderItem 6 2" xfId="12032" xr:uid="{00000000-0005-0000-0000-0000B02F0000}"/>
    <cellStyle name="SAPBEXheaderItem 6 2 2" xfId="12033" xr:uid="{00000000-0005-0000-0000-0000B12F0000}"/>
    <cellStyle name="SAPBEXheaderItem 6 2 3" xfId="12034" xr:uid="{00000000-0005-0000-0000-0000B22F0000}"/>
    <cellStyle name="SAPBEXheaderItem 6 2 4" xfId="12035" xr:uid="{00000000-0005-0000-0000-0000B32F0000}"/>
    <cellStyle name="SAPBEXheaderItem 6 3" xfId="12036" xr:uid="{00000000-0005-0000-0000-0000B42F0000}"/>
    <cellStyle name="SAPBEXheaderItem 6 3 2" xfId="12037" xr:uid="{00000000-0005-0000-0000-0000B52F0000}"/>
    <cellStyle name="SAPBEXheaderItem 6 3 3" xfId="12038" xr:uid="{00000000-0005-0000-0000-0000B62F0000}"/>
    <cellStyle name="SAPBEXheaderItem 6 3 4" xfId="12039" xr:uid="{00000000-0005-0000-0000-0000B72F0000}"/>
    <cellStyle name="SAPBEXheaderItem 6 4" xfId="12040" xr:uid="{00000000-0005-0000-0000-0000B82F0000}"/>
    <cellStyle name="SAPBEXheaderItem 6 4 2" xfId="12041" xr:uid="{00000000-0005-0000-0000-0000B92F0000}"/>
    <cellStyle name="SAPBEXheaderItem 6 4 3" xfId="12042" xr:uid="{00000000-0005-0000-0000-0000BA2F0000}"/>
    <cellStyle name="SAPBEXheaderItem 6 4 4" xfId="12043" xr:uid="{00000000-0005-0000-0000-0000BB2F0000}"/>
    <cellStyle name="SAPBEXheaderItem 6 5" xfId="12044" xr:uid="{00000000-0005-0000-0000-0000BC2F0000}"/>
    <cellStyle name="SAPBEXheaderItem 6 5 2" xfId="12045" xr:uid="{00000000-0005-0000-0000-0000BD2F0000}"/>
    <cellStyle name="SAPBEXheaderItem 6 5 3" xfId="12046" xr:uid="{00000000-0005-0000-0000-0000BE2F0000}"/>
    <cellStyle name="SAPBEXheaderItem 6 5 4" xfId="12047" xr:uid="{00000000-0005-0000-0000-0000BF2F0000}"/>
    <cellStyle name="SAPBEXheaderItem 6 6" xfId="12048" xr:uid="{00000000-0005-0000-0000-0000C02F0000}"/>
    <cellStyle name="SAPBEXheaderItem 6 7" xfId="12049" xr:uid="{00000000-0005-0000-0000-0000C12F0000}"/>
    <cellStyle name="SAPBEXheaderItem 6 8" xfId="12050" xr:uid="{00000000-0005-0000-0000-0000C22F0000}"/>
    <cellStyle name="SAPBEXheaderItem 6 9" xfId="12051" xr:uid="{00000000-0005-0000-0000-0000C32F0000}"/>
    <cellStyle name="SAPBEXheaderItem 60" xfId="12052" xr:uid="{00000000-0005-0000-0000-0000C42F0000}"/>
    <cellStyle name="SAPBEXheaderItem 61" xfId="12053" xr:uid="{00000000-0005-0000-0000-0000C52F0000}"/>
    <cellStyle name="SAPBEXheaderItem 62" xfId="12054" xr:uid="{00000000-0005-0000-0000-0000C62F0000}"/>
    <cellStyle name="SAPBEXheaderItem 63" xfId="12055" xr:uid="{00000000-0005-0000-0000-0000C72F0000}"/>
    <cellStyle name="SAPBEXheaderItem 64" xfId="12056" xr:uid="{00000000-0005-0000-0000-0000C82F0000}"/>
    <cellStyle name="SAPBEXheaderItem 65" xfId="12057" xr:uid="{00000000-0005-0000-0000-0000C92F0000}"/>
    <cellStyle name="SAPBEXheaderItem 66" xfId="12058" xr:uid="{00000000-0005-0000-0000-0000CA2F0000}"/>
    <cellStyle name="SAPBEXheaderItem 67" xfId="12059" xr:uid="{00000000-0005-0000-0000-0000CB2F0000}"/>
    <cellStyle name="SAPBEXheaderItem 68" xfId="12060" xr:uid="{00000000-0005-0000-0000-0000CC2F0000}"/>
    <cellStyle name="SAPBEXheaderItem 69" xfId="12061" xr:uid="{00000000-0005-0000-0000-0000CD2F0000}"/>
    <cellStyle name="SAPBEXheaderItem 7" xfId="12062" xr:uid="{00000000-0005-0000-0000-0000CE2F0000}"/>
    <cellStyle name="SAPBEXheaderItem 7 10" xfId="12063" xr:uid="{00000000-0005-0000-0000-0000CF2F0000}"/>
    <cellStyle name="SAPBEXheaderItem 7 2" xfId="12064" xr:uid="{00000000-0005-0000-0000-0000D02F0000}"/>
    <cellStyle name="SAPBEXheaderItem 7 2 2" xfId="12065" xr:uid="{00000000-0005-0000-0000-0000D12F0000}"/>
    <cellStyle name="SAPBEXheaderItem 7 2 3" xfId="12066" xr:uid="{00000000-0005-0000-0000-0000D22F0000}"/>
    <cellStyle name="SAPBEXheaderItem 7 2 4" xfId="12067" xr:uid="{00000000-0005-0000-0000-0000D32F0000}"/>
    <cellStyle name="SAPBEXheaderItem 7 3" xfId="12068" xr:uid="{00000000-0005-0000-0000-0000D42F0000}"/>
    <cellStyle name="SAPBEXheaderItem 7 3 2" xfId="12069" xr:uid="{00000000-0005-0000-0000-0000D52F0000}"/>
    <cellStyle name="SAPBEXheaderItem 7 3 3" xfId="12070" xr:uid="{00000000-0005-0000-0000-0000D62F0000}"/>
    <cellStyle name="SAPBEXheaderItem 7 3 4" xfId="12071" xr:uid="{00000000-0005-0000-0000-0000D72F0000}"/>
    <cellStyle name="SAPBEXheaderItem 7 4" xfId="12072" xr:uid="{00000000-0005-0000-0000-0000D82F0000}"/>
    <cellStyle name="SAPBEXheaderItem 7 4 2" xfId="12073" xr:uid="{00000000-0005-0000-0000-0000D92F0000}"/>
    <cellStyle name="SAPBEXheaderItem 7 4 3" xfId="12074" xr:uid="{00000000-0005-0000-0000-0000DA2F0000}"/>
    <cellStyle name="SAPBEXheaderItem 7 4 4" xfId="12075" xr:uid="{00000000-0005-0000-0000-0000DB2F0000}"/>
    <cellStyle name="SAPBEXheaderItem 7 5" xfId="12076" xr:uid="{00000000-0005-0000-0000-0000DC2F0000}"/>
    <cellStyle name="SAPBEXheaderItem 7 5 2" xfId="12077" xr:uid="{00000000-0005-0000-0000-0000DD2F0000}"/>
    <cellStyle name="SAPBEXheaderItem 7 5 3" xfId="12078" xr:uid="{00000000-0005-0000-0000-0000DE2F0000}"/>
    <cellStyle name="SAPBEXheaderItem 7 5 4" xfId="12079" xr:uid="{00000000-0005-0000-0000-0000DF2F0000}"/>
    <cellStyle name="SAPBEXheaderItem 7 6" xfId="12080" xr:uid="{00000000-0005-0000-0000-0000E02F0000}"/>
    <cellStyle name="SAPBEXheaderItem 7 7" xfId="12081" xr:uid="{00000000-0005-0000-0000-0000E12F0000}"/>
    <cellStyle name="SAPBEXheaderItem 7 8" xfId="12082" xr:uid="{00000000-0005-0000-0000-0000E22F0000}"/>
    <cellStyle name="SAPBEXheaderItem 7 9" xfId="12083" xr:uid="{00000000-0005-0000-0000-0000E32F0000}"/>
    <cellStyle name="SAPBEXheaderItem 70" xfId="12084" xr:uid="{00000000-0005-0000-0000-0000E42F0000}"/>
    <cellStyle name="SAPBEXheaderItem 71" xfId="12085" xr:uid="{00000000-0005-0000-0000-0000E52F0000}"/>
    <cellStyle name="SAPBEXheaderItem 72" xfId="12086" xr:uid="{00000000-0005-0000-0000-0000E62F0000}"/>
    <cellStyle name="SAPBEXheaderItem 73" xfId="12087" xr:uid="{00000000-0005-0000-0000-0000E72F0000}"/>
    <cellStyle name="SAPBEXheaderItem 74" xfId="12088" xr:uid="{00000000-0005-0000-0000-0000E82F0000}"/>
    <cellStyle name="SAPBEXheaderItem 75" xfId="12089" xr:uid="{00000000-0005-0000-0000-0000E92F0000}"/>
    <cellStyle name="SAPBEXheaderItem 76" xfId="12090" xr:uid="{00000000-0005-0000-0000-0000EA2F0000}"/>
    <cellStyle name="SAPBEXheaderItem 77" xfId="12091" xr:uid="{00000000-0005-0000-0000-0000EB2F0000}"/>
    <cellStyle name="SAPBEXheaderItem 78" xfId="12092" xr:uid="{00000000-0005-0000-0000-0000EC2F0000}"/>
    <cellStyle name="SAPBEXheaderItem 79" xfId="12093" xr:uid="{00000000-0005-0000-0000-0000ED2F0000}"/>
    <cellStyle name="SAPBEXheaderItem 8" xfId="12094" xr:uid="{00000000-0005-0000-0000-0000EE2F0000}"/>
    <cellStyle name="SAPBEXheaderItem 8 2" xfId="12095" xr:uid="{00000000-0005-0000-0000-0000EF2F0000}"/>
    <cellStyle name="SAPBEXheaderItem 8 3" xfId="12096" xr:uid="{00000000-0005-0000-0000-0000F02F0000}"/>
    <cellStyle name="SAPBEXheaderItem 8 4" xfId="12097" xr:uid="{00000000-0005-0000-0000-0000F12F0000}"/>
    <cellStyle name="SAPBEXheaderItem 8 5" xfId="12098" xr:uid="{00000000-0005-0000-0000-0000F22F0000}"/>
    <cellStyle name="SAPBEXheaderItem 8 6" xfId="12099" xr:uid="{00000000-0005-0000-0000-0000F32F0000}"/>
    <cellStyle name="SAPBEXheaderItem 80" xfId="12100" xr:uid="{00000000-0005-0000-0000-0000F42F0000}"/>
    <cellStyle name="SAPBEXheaderItem 81" xfId="12101" xr:uid="{00000000-0005-0000-0000-0000F52F0000}"/>
    <cellStyle name="SAPBEXheaderItem 82" xfId="12102" xr:uid="{00000000-0005-0000-0000-0000F62F0000}"/>
    <cellStyle name="SAPBEXheaderItem 83" xfId="12103" xr:uid="{00000000-0005-0000-0000-0000F72F0000}"/>
    <cellStyle name="SAPBEXheaderItem 84" xfId="12104" xr:uid="{00000000-0005-0000-0000-0000F82F0000}"/>
    <cellStyle name="SAPBEXheaderItem 85" xfId="12105" xr:uid="{00000000-0005-0000-0000-0000F92F0000}"/>
    <cellStyle name="SAPBEXheaderItem 86" xfId="12106" xr:uid="{00000000-0005-0000-0000-0000FA2F0000}"/>
    <cellStyle name="SAPBEXheaderItem 87" xfId="12107" xr:uid="{00000000-0005-0000-0000-0000FB2F0000}"/>
    <cellStyle name="SAPBEXheaderItem 88" xfId="12108" xr:uid="{00000000-0005-0000-0000-0000FC2F0000}"/>
    <cellStyle name="SAPBEXheaderItem 89" xfId="12109" xr:uid="{00000000-0005-0000-0000-0000FD2F0000}"/>
    <cellStyle name="SAPBEXheaderItem 9" xfId="12110" xr:uid="{00000000-0005-0000-0000-0000FE2F0000}"/>
    <cellStyle name="SAPBEXheaderItem 9 2" xfId="12111" xr:uid="{00000000-0005-0000-0000-0000FF2F0000}"/>
    <cellStyle name="SAPBEXheaderItem 9 3" xfId="12112" xr:uid="{00000000-0005-0000-0000-000000300000}"/>
    <cellStyle name="SAPBEXheaderItem 9 4" xfId="12113" xr:uid="{00000000-0005-0000-0000-000001300000}"/>
    <cellStyle name="SAPBEXheaderItem 9 5" xfId="12114" xr:uid="{00000000-0005-0000-0000-000002300000}"/>
    <cellStyle name="SAPBEXheaderItem 9 6" xfId="12115" xr:uid="{00000000-0005-0000-0000-000003300000}"/>
    <cellStyle name="SAPBEXheaderItem 90" xfId="12116" xr:uid="{00000000-0005-0000-0000-000004300000}"/>
    <cellStyle name="SAPBEXheaderItem 91" xfId="12117" xr:uid="{00000000-0005-0000-0000-000005300000}"/>
    <cellStyle name="SAPBEXheaderItem 92" xfId="12118" xr:uid="{00000000-0005-0000-0000-000006300000}"/>
    <cellStyle name="SAPBEXheaderItem 93" xfId="12119" xr:uid="{00000000-0005-0000-0000-000007300000}"/>
    <cellStyle name="SAPBEXheaderItem 94" xfId="12120" xr:uid="{00000000-0005-0000-0000-000008300000}"/>
    <cellStyle name="SAPBEXheaderItem 95" xfId="12121" xr:uid="{00000000-0005-0000-0000-000009300000}"/>
    <cellStyle name="SAPBEXheaderItem 96" xfId="12122" xr:uid="{00000000-0005-0000-0000-00000A300000}"/>
    <cellStyle name="SAPBEXheaderItem 97" xfId="12123" xr:uid="{00000000-0005-0000-0000-00000B300000}"/>
    <cellStyle name="SAPBEXheaderItem 98" xfId="12124" xr:uid="{00000000-0005-0000-0000-00000C300000}"/>
    <cellStyle name="SAPBEXheaderItem 99" xfId="12125" xr:uid="{00000000-0005-0000-0000-00000D300000}"/>
    <cellStyle name="SAPBEXheaderItem_2009 12 09 Cash flow (2009)" xfId="12126" xr:uid="{00000000-0005-0000-0000-00000E300000}"/>
    <cellStyle name="SAPBEXheaderText" xfId="12127" xr:uid="{00000000-0005-0000-0000-00000F300000}"/>
    <cellStyle name="SAPBEXheaderText 10" xfId="12128" xr:uid="{00000000-0005-0000-0000-000010300000}"/>
    <cellStyle name="SAPBEXheaderText 10 2" xfId="12129" xr:uid="{00000000-0005-0000-0000-000011300000}"/>
    <cellStyle name="SAPBEXheaderText 10 3" xfId="12130" xr:uid="{00000000-0005-0000-0000-000012300000}"/>
    <cellStyle name="SAPBEXheaderText 10 4" xfId="12131" xr:uid="{00000000-0005-0000-0000-000013300000}"/>
    <cellStyle name="SAPBEXheaderText 10 5" xfId="12132" xr:uid="{00000000-0005-0000-0000-000014300000}"/>
    <cellStyle name="SAPBEXheaderText 10 6" xfId="12133" xr:uid="{00000000-0005-0000-0000-000015300000}"/>
    <cellStyle name="SAPBEXheaderText 100" xfId="12134" xr:uid="{00000000-0005-0000-0000-000016300000}"/>
    <cellStyle name="SAPBEXheaderText 101" xfId="12135" xr:uid="{00000000-0005-0000-0000-000017300000}"/>
    <cellStyle name="SAPBEXheaderText 102" xfId="12136" xr:uid="{00000000-0005-0000-0000-000018300000}"/>
    <cellStyle name="SAPBEXheaderText 103" xfId="12137" xr:uid="{00000000-0005-0000-0000-000019300000}"/>
    <cellStyle name="SAPBEXheaderText 104" xfId="12138" xr:uid="{00000000-0005-0000-0000-00001A300000}"/>
    <cellStyle name="SAPBEXheaderText 105" xfId="12139" xr:uid="{00000000-0005-0000-0000-00001B300000}"/>
    <cellStyle name="SAPBEXheaderText 106" xfId="12140" xr:uid="{00000000-0005-0000-0000-00001C300000}"/>
    <cellStyle name="SAPBEXheaderText 107" xfId="12141" xr:uid="{00000000-0005-0000-0000-00001D300000}"/>
    <cellStyle name="SAPBEXheaderText 108" xfId="12142" xr:uid="{00000000-0005-0000-0000-00001E300000}"/>
    <cellStyle name="SAPBEXheaderText 109" xfId="12143" xr:uid="{00000000-0005-0000-0000-00001F300000}"/>
    <cellStyle name="SAPBEXheaderText 11" xfId="12144" xr:uid="{00000000-0005-0000-0000-000020300000}"/>
    <cellStyle name="SAPBEXheaderText 11 2" xfId="12145" xr:uid="{00000000-0005-0000-0000-000021300000}"/>
    <cellStyle name="SAPBEXheaderText 11 3" xfId="12146" xr:uid="{00000000-0005-0000-0000-000022300000}"/>
    <cellStyle name="SAPBEXheaderText 11 4" xfId="12147" xr:uid="{00000000-0005-0000-0000-000023300000}"/>
    <cellStyle name="SAPBEXheaderText 11 5" xfId="12148" xr:uid="{00000000-0005-0000-0000-000024300000}"/>
    <cellStyle name="SAPBEXheaderText 11 6" xfId="12149" xr:uid="{00000000-0005-0000-0000-000025300000}"/>
    <cellStyle name="SAPBEXheaderText 110" xfId="12150" xr:uid="{00000000-0005-0000-0000-000026300000}"/>
    <cellStyle name="SAPBEXheaderText 111" xfId="12151" xr:uid="{00000000-0005-0000-0000-000027300000}"/>
    <cellStyle name="SAPBEXheaderText 112" xfId="12152" xr:uid="{00000000-0005-0000-0000-000028300000}"/>
    <cellStyle name="SAPBEXheaderText 113" xfId="12153" xr:uid="{00000000-0005-0000-0000-000029300000}"/>
    <cellStyle name="SAPBEXheaderText 114" xfId="12154" xr:uid="{00000000-0005-0000-0000-00002A300000}"/>
    <cellStyle name="SAPBEXheaderText 115" xfId="12155" xr:uid="{00000000-0005-0000-0000-00002B300000}"/>
    <cellStyle name="SAPBEXheaderText 116" xfId="12156" xr:uid="{00000000-0005-0000-0000-00002C300000}"/>
    <cellStyle name="SAPBEXheaderText 117" xfId="12157" xr:uid="{00000000-0005-0000-0000-00002D300000}"/>
    <cellStyle name="SAPBEXheaderText 118" xfId="12158" xr:uid="{00000000-0005-0000-0000-00002E300000}"/>
    <cellStyle name="SAPBEXheaderText 119" xfId="12159" xr:uid="{00000000-0005-0000-0000-00002F300000}"/>
    <cellStyle name="SAPBEXheaderText 12" xfId="12160" xr:uid="{00000000-0005-0000-0000-000030300000}"/>
    <cellStyle name="SAPBEXheaderText 12 2" xfId="12161" xr:uid="{00000000-0005-0000-0000-000031300000}"/>
    <cellStyle name="SAPBEXheaderText 12 3" xfId="12162" xr:uid="{00000000-0005-0000-0000-000032300000}"/>
    <cellStyle name="SAPBEXheaderText 12 4" xfId="12163" xr:uid="{00000000-0005-0000-0000-000033300000}"/>
    <cellStyle name="SAPBEXheaderText 12 5" xfId="12164" xr:uid="{00000000-0005-0000-0000-000034300000}"/>
    <cellStyle name="SAPBEXheaderText 12 6" xfId="12165" xr:uid="{00000000-0005-0000-0000-000035300000}"/>
    <cellStyle name="SAPBEXheaderText 120" xfId="12166" xr:uid="{00000000-0005-0000-0000-000036300000}"/>
    <cellStyle name="SAPBEXheaderText 121" xfId="12167" xr:uid="{00000000-0005-0000-0000-000037300000}"/>
    <cellStyle name="SAPBEXheaderText 122" xfId="12168" xr:uid="{00000000-0005-0000-0000-000038300000}"/>
    <cellStyle name="SAPBEXheaderText 123" xfId="12169" xr:uid="{00000000-0005-0000-0000-000039300000}"/>
    <cellStyle name="SAPBEXheaderText 124" xfId="12170" xr:uid="{00000000-0005-0000-0000-00003A300000}"/>
    <cellStyle name="SAPBEXheaderText 125" xfId="12171" xr:uid="{00000000-0005-0000-0000-00003B300000}"/>
    <cellStyle name="SAPBEXheaderText 126" xfId="12172" xr:uid="{00000000-0005-0000-0000-00003C300000}"/>
    <cellStyle name="SAPBEXheaderText 127" xfId="12173" xr:uid="{00000000-0005-0000-0000-00003D300000}"/>
    <cellStyle name="SAPBEXheaderText 128" xfId="12174" xr:uid="{00000000-0005-0000-0000-00003E300000}"/>
    <cellStyle name="SAPBEXheaderText 129" xfId="12175" xr:uid="{00000000-0005-0000-0000-00003F300000}"/>
    <cellStyle name="SAPBEXheaderText 13" xfId="12176" xr:uid="{00000000-0005-0000-0000-000040300000}"/>
    <cellStyle name="SAPBEXheaderText 13 2" xfId="12177" xr:uid="{00000000-0005-0000-0000-000041300000}"/>
    <cellStyle name="SAPBEXheaderText 13 3" xfId="12178" xr:uid="{00000000-0005-0000-0000-000042300000}"/>
    <cellStyle name="SAPBEXheaderText 13 4" xfId="12179" xr:uid="{00000000-0005-0000-0000-000043300000}"/>
    <cellStyle name="SAPBEXheaderText 13 5" xfId="12180" xr:uid="{00000000-0005-0000-0000-000044300000}"/>
    <cellStyle name="SAPBEXheaderText 13 6" xfId="12181" xr:uid="{00000000-0005-0000-0000-000045300000}"/>
    <cellStyle name="SAPBEXheaderText 130" xfId="12182" xr:uid="{00000000-0005-0000-0000-000046300000}"/>
    <cellStyle name="SAPBEXheaderText 131" xfId="12183" xr:uid="{00000000-0005-0000-0000-000047300000}"/>
    <cellStyle name="SAPBEXheaderText 132" xfId="12184" xr:uid="{00000000-0005-0000-0000-000048300000}"/>
    <cellStyle name="SAPBEXheaderText 133" xfId="12185" xr:uid="{00000000-0005-0000-0000-000049300000}"/>
    <cellStyle name="SAPBEXheaderText 134" xfId="12186" xr:uid="{00000000-0005-0000-0000-00004A300000}"/>
    <cellStyle name="SAPBEXheaderText 135" xfId="12187" xr:uid="{00000000-0005-0000-0000-00004B300000}"/>
    <cellStyle name="SAPBEXheaderText 136" xfId="12188" xr:uid="{00000000-0005-0000-0000-00004C300000}"/>
    <cellStyle name="SAPBEXheaderText 137" xfId="12189" xr:uid="{00000000-0005-0000-0000-00004D300000}"/>
    <cellStyle name="SAPBEXheaderText 138" xfId="12190" xr:uid="{00000000-0005-0000-0000-00004E300000}"/>
    <cellStyle name="SAPBEXheaderText 139" xfId="12191" xr:uid="{00000000-0005-0000-0000-00004F300000}"/>
    <cellStyle name="SAPBEXheaderText 14" xfId="12192" xr:uid="{00000000-0005-0000-0000-000050300000}"/>
    <cellStyle name="SAPBEXheaderText 14 2" xfId="12193" xr:uid="{00000000-0005-0000-0000-000051300000}"/>
    <cellStyle name="SAPBEXheaderText 14 3" xfId="12194" xr:uid="{00000000-0005-0000-0000-000052300000}"/>
    <cellStyle name="SAPBEXheaderText 14 4" xfId="12195" xr:uid="{00000000-0005-0000-0000-000053300000}"/>
    <cellStyle name="SAPBEXheaderText 14 5" xfId="12196" xr:uid="{00000000-0005-0000-0000-000054300000}"/>
    <cellStyle name="SAPBEXheaderText 14 6" xfId="12197" xr:uid="{00000000-0005-0000-0000-000055300000}"/>
    <cellStyle name="SAPBEXheaderText 140" xfId="12198" xr:uid="{00000000-0005-0000-0000-000056300000}"/>
    <cellStyle name="SAPBEXheaderText 141" xfId="12199" xr:uid="{00000000-0005-0000-0000-000057300000}"/>
    <cellStyle name="SAPBEXheaderText 142" xfId="12200" xr:uid="{00000000-0005-0000-0000-000058300000}"/>
    <cellStyle name="SAPBEXheaderText 143" xfId="12201" xr:uid="{00000000-0005-0000-0000-000059300000}"/>
    <cellStyle name="SAPBEXheaderText 144" xfId="12202" xr:uid="{00000000-0005-0000-0000-00005A300000}"/>
    <cellStyle name="SAPBEXheaderText 145" xfId="12203" xr:uid="{00000000-0005-0000-0000-00005B300000}"/>
    <cellStyle name="SAPBEXheaderText 146" xfId="12204" xr:uid="{00000000-0005-0000-0000-00005C300000}"/>
    <cellStyle name="SAPBEXheaderText 147" xfId="12205" xr:uid="{00000000-0005-0000-0000-00005D300000}"/>
    <cellStyle name="SAPBEXheaderText 148" xfId="12206" xr:uid="{00000000-0005-0000-0000-00005E300000}"/>
    <cellStyle name="SAPBEXheaderText 149" xfId="12207" xr:uid="{00000000-0005-0000-0000-00005F300000}"/>
    <cellStyle name="SAPBEXheaderText 15" xfId="12208" xr:uid="{00000000-0005-0000-0000-000060300000}"/>
    <cellStyle name="SAPBEXheaderText 15 2" xfId="12209" xr:uid="{00000000-0005-0000-0000-000061300000}"/>
    <cellStyle name="SAPBEXheaderText 15 3" xfId="12210" xr:uid="{00000000-0005-0000-0000-000062300000}"/>
    <cellStyle name="SAPBEXheaderText 15 4" xfId="12211" xr:uid="{00000000-0005-0000-0000-000063300000}"/>
    <cellStyle name="SAPBEXheaderText 15 5" xfId="12212" xr:uid="{00000000-0005-0000-0000-000064300000}"/>
    <cellStyle name="SAPBEXheaderText 15 6" xfId="12213" xr:uid="{00000000-0005-0000-0000-000065300000}"/>
    <cellStyle name="SAPBEXheaderText 150" xfId="12214" xr:uid="{00000000-0005-0000-0000-000066300000}"/>
    <cellStyle name="SAPBEXheaderText 151" xfId="12215" xr:uid="{00000000-0005-0000-0000-000067300000}"/>
    <cellStyle name="SAPBEXheaderText 152" xfId="12216" xr:uid="{00000000-0005-0000-0000-000068300000}"/>
    <cellStyle name="SAPBEXheaderText 153" xfId="12217" xr:uid="{00000000-0005-0000-0000-000069300000}"/>
    <cellStyle name="SAPBEXheaderText 154" xfId="12218" xr:uid="{00000000-0005-0000-0000-00006A300000}"/>
    <cellStyle name="SAPBEXheaderText 155" xfId="12219" xr:uid="{00000000-0005-0000-0000-00006B300000}"/>
    <cellStyle name="SAPBEXheaderText 156" xfId="12220" xr:uid="{00000000-0005-0000-0000-00006C300000}"/>
    <cellStyle name="SAPBEXheaderText 157" xfId="12221" xr:uid="{00000000-0005-0000-0000-00006D300000}"/>
    <cellStyle name="SAPBEXheaderText 158" xfId="12222" xr:uid="{00000000-0005-0000-0000-00006E300000}"/>
    <cellStyle name="SAPBEXheaderText 159" xfId="12223" xr:uid="{00000000-0005-0000-0000-00006F300000}"/>
    <cellStyle name="SAPBEXheaderText 16" xfId="12224" xr:uid="{00000000-0005-0000-0000-000070300000}"/>
    <cellStyle name="SAPBEXheaderText 16 2" xfId="12225" xr:uid="{00000000-0005-0000-0000-000071300000}"/>
    <cellStyle name="SAPBEXheaderText 16 3" xfId="12226" xr:uid="{00000000-0005-0000-0000-000072300000}"/>
    <cellStyle name="SAPBEXheaderText 16 4" xfId="12227" xr:uid="{00000000-0005-0000-0000-000073300000}"/>
    <cellStyle name="SAPBEXheaderText 16 5" xfId="12228" xr:uid="{00000000-0005-0000-0000-000074300000}"/>
    <cellStyle name="SAPBEXheaderText 16 6" xfId="12229" xr:uid="{00000000-0005-0000-0000-000075300000}"/>
    <cellStyle name="SAPBEXheaderText 160" xfId="12230" xr:uid="{00000000-0005-0000-0000-000076300000}"/>
    <cellStyle name="SAPBEXheaderText 161" xfId="12231" xr:uid="{00000000-0005-0000-0000-000077300000}"/>
    <cellStyle name="SAPBEXheaderText 162" xfId="12232" xr:uid="{00000000-0005-0000-0000-000078300000}"/>
    <cellStyle name="SAPBEXheaderText 163" xfId="12233" xr:uid="{00000000-0005-0000-0000-000079300000}"/>
    <cellStyle name="SAPBEXheaderText 164" xfId="12234" xr:uid="{00000000-0005-0000-0000-00007A300000}"/>
    <cellStyle name="SAPBEXheaderText 165" xfId="12235" xr:uid="{00000000-0005-0000-0000-00007B300000}"/>
    <cellStyle name="SAPBEXheaderText 166" xfId="12236" xr:uid="{00000000-0005-0000-0000-00007C300000}"/>
    <cellStyle name="SAPBEXheaderText 167" xfId="12237" xr:uid="{00000000-0005-0000-0000-00007D300000}"/>
    <cellStyle name="SAPBEXheaderText 168" xfId="12238" xr:uid="{00000000-0005-0000-0000-00007E300000}"/>
    <cellStyle name="SAPBEXheaderText 169" xfId="12239" xr:uid="{00000000-0005-0000-0000-00007F300000}"/>
    <cellStyle name="SAPBEXheaderText 17" xfId="12240" xr:uid="{00000000-0005-0000-0000-000080300000}"/>
    <cellStyle name="SAPBEXheaderText 17 2" xfId="12241" xr:uid="{00000000-0005-0000-0000-000081300000}"/>
    <cellStyle name="SAPBEXheaderText 17 3" xfId="12242" xr:uid="{00000000-0005-0000-0000-000082300000}"/>
    <cellStyle name="SAPBEXheaderText 17 4" xfId="12243" xr:uid="{00000000-0005-0000-0000-000083300000}"/>
    <cellStyle name="SAPBEXheaderText 17 5" xfId="12244" xr:uid="{00000000-0005-0000-0000-000084300000}"/>
    <cellStyle name="SAPBEXheaderText 17 6" xfId="12245" xr:uid="{00000000-0005-0000-0000-000085300000}"/>
    <cellStyle name="SAPBEXheaderText 170" xfId="12246" xr:uid="{00000000-0005-0000-0000-000086300000}"/>
    <cellStyle name="SAPBEXheaderText 171" xfId="12247" xr:uid="{00000000-0005-0000-0000-000087300000}"/>
    <cellStyle name="SAPBEXheaderText 172" xfId="27816" xr:uid="{00000000-0005-0000-0000-000088300000}"/>
    <cellStyle name="SAPBEXheaderText 173" xfId="27921" xr:uid="{00000000-0005-0000-0000-000089300000}"/>
    <cellStyle name="SAPBEXheaderText 174" xfId="28021" xr:uid="{00000000-0005-0000-0000-00008A300000}"/>
    <cellStyle name="SAPBEXheaderText 18" xfId="12248" xr:uid="{00000000-0005-0000-0000-00008B300000}"/>
    <cellStyle name="SAPBEXheaderText 18 2" xfId="12249" xr:uid="{00000000-0005-0000-0000-00008C300000}"/>
    <cellStyle name="SAPBEXheaderText 18 3" xfId="12250" xr:uid="{00000000-0005-0000-0000-00008D300000}"/>
    <cellStyle name="SAPBEXheaderText 18 4" xfId="12251" xr:uid="{00000000-0005-0000-0000-00008E300000}"/>
    <cellStyle name="SAPBEXheaderText 18 5" xfId="12252" xr:uid="{00000000-0005-0000-0000-00008F300000}"/>
    <cellStyle name="SAPBEXheaderText 18 6" xfId="12253" xr:uid="{00000000-0005-0000-0000-000090300000}"/>
    <cellStyle name="SAPBEXheaderText 19" xfId="12254" xr:uid="{00000000-0005-0000-0000-000091300000}"/>
    <cellStyle name="SAPBEXheaderText 19 2" xfId="12255" xr:uid="{00000000-0005-0000-0000-000092300000}"/>
    <cellStyle name="SAPBEXheaderText 19 3" xfId="12256" xr:uid="{00000000-0005-0000-0000-000093300000}"/>
    <cellStyle name="SAPBEXheaderText 19 4" xfId="12257" xr:uid="{00000000-0005-0000-0000-000094300000}"/>
    <cellStyle name="SAPBEXheaderText 19 5" xfId="12258" xr:uid="{00000000-0005-0000-0000-000095300000}"/>
    <cellStyle name="SAPBEXheaderText 19 6" xfId="12259" xr:uid="{00000000-0005-0000-0000-000096300000}"/>
    <cellStyle name="SAPBEXheaderText 2" xfId="12260" xr:uid="{00000000-0005-0000-0000-000097300000}"/>
    <cellStyle name="SAPBEXheaderText 2 10" xfId="12261" xr:uid="{00000000-0005-0000-0000-000098300000}"/>
    <cellStyle name="SAPBEXheaderText 2 10 2" xfId="12262" xr:uid="{00000000-0005-0000-0000-000099300000}"/>
    <cellStyle name="SAPBEXheaderText 2 10 3" xfId="12263" xr:uid="{00000000-0005-0000-0000-00009A300000}"/>
    <cellStyle name="SAPBEXheaderText 2 10 4" xfId="12264" xr:uid="{00000000-0005-0000-0000-00009B300000}"/>
    <cellStyle name="SAPBEXheaderText 2 11" xfId="12265" xr:uid="{00000000-0005-0000-0000-00009C300000}"/>
    <cellStyle name="SAPBEXheaderText 2 11 2" xfId="12266" xr:uid="{00000000-0005-0000-0000-00009D300000}"/>
    <cellStyle name="SAPBEXheaderText 2 11 3" xfId="12267" xr:uid="{00000000-0005-0000-0000-00009E300000}"/>
    <cellStyle name="SAPBEXheaderText 2 11 4" xfId="12268" xr:uid="{00000000-0005-0000-0000-00009F300000}"/>
    <cellStyle name="SAPBEXheaderText 2 12" xfId="12269" xr:uid="{00000000-0005-0000-0000-0000A0300000}"/>
    <cellStyle name="SAPBEXheaderText 2 12 2" xfId="12270" xr:uid="{00000000-0005-0000-0000-0000A1300000}"/>
    <cellStyle name="SAPBEXheaderText 2 12 3" xfId="12271" xr:uid="{00000000-0005-0000-0000-0000A2300000}"/>
    <cellStyle name="SAPBEXheaderText 2 12 4" xfId="12272" xr:uid="{00000000-0005-0000-0000-0000A3300000}"/>
    <cellStyle name="SAPBEXheaderText 2 13" xfId="12273" xr:uid="{00000000-0005-0000-0000-0000A4300000}"/>
    <cellStyle name="SAPBEXheaderText 2 13 2" xfId="12274" xr:uid="{00000000-0005-0000-0000-0000A5300000}"/>
    <cellStyle name="SAPBEXheaderText 2 13 3" xfId="12275" xr:uid="{00000000-0005-0000-0000-0000A6300000}"/>
    <cellStyle name="SAPBEXheaderText 2 13 4" xfId="12276" xr:uid="{00000000-0005-0000-0000-0000A7300000}"/>
    <cellStyle name="SAPBEXheaderText 2 14" xfId="12277" xr:uid="{00000000-0005-0000-0000-0000A8300000}"/>
    <cellStyle name="SAPBEXheaderText 2 15" xfId="12278" xr:uid="{00000000-0005-0000-0000-0000A9300000}"/>
    <cellStyle name="SAPBEXheaderText 2 16" xfId="12279" xr:uid="{00000000-0005-0000-0000-0000AA300000}"/>
    <cellStyle name="SAPBEXheaderText 2 17" xfId="12280" xr:uid="{00000000-0005-0000-0000-0000AB300000}"/>
    <cellStyle name="SAPBEXheaderText 2 18" xfId="12281" xr:uid="{00000000-0005-0000-0000-0000AC300000}"/>
    <cellStyle name="SAPBEXheaderText 2 2" xfId="12282" xr:uid="{00000000-0005-0000-0000-0000AD300000}"/>
    <cellStyle name="SAPBEXheaderText 2 2 2" xfId="12283" xr:uid="{00000000-0005-0000-0000-0000AE300000}"/>
    <cellStyle name="SAPBEXheaderText 2 2 2 2" xfId="12284" xr:uid="{00000000-0005-0000-0000-0000AF300000}"/>
    <cellStyle name="SAPBEXheaderText 2 2 2 3" xfId="12285" xr:uid="{00000000-0005-0000-0000-0000B0300000}"/>
    <cellStyle name="SAPBEXheaderText 2 2 2 4" xfId="12286" xr:uid="{00000000-0005-0000-0000-0000B1300000}"/>
    <cellStyle name="SAPBEXheaderText 2 2 2 5" xfId="12287" xr:uid="{00000000-0005-0000-0000-0000B2300000}"/>
    <cellStyle name="SAPBEXheaderText 2 2 2 6" xfId="12288" xr:uid="{00000000-0005-0000-0000-0000B3300000}"/>
    <cellStyle name="SAPBEXheaderText 2 2 3" xfId="12289" xr:uid="{00000000-0005-0000-0000-0000B4300000}"/>
    <cellStyle name="SAPBEXheaderText 2 2 3 2" xfId="12290" xr:uid="{00000000-0005-0000-0000-0000B5300000}"/>
    <cellStyle name="SAPBEXheaderText 2 2 3 3" xfId="12291" xr:uid="{00000000-0005-0000-0000-0000B6300000}"/>
    <cellStyle name="SAPBEXheaderText 2 2 3 4" xfId="12292" xr:uid="{00000000-0005-0000-0000-0000B7300000}"/>
    <cellStyle name="SAPBEXheaderText 2 2 3 5" xfId="12293" xr:uid="{00000000-0005-0000-0000-0000B8300000}"/>
    <cellStyle name="SAPBEXheaderText 2 2 3 6" xfId="12294" xr:uid="{00000000-0005-0000-0000-0000B9300000}"/>
    <cellStyle name="SAPBEXheaderText 2 2 4" xfId="12295" xr:uid="{00000000-0005-0000-0000-0000BA300000}"/>
    <cellStyle name="SAPBEXheaderText 2 2 4 2" xfId="12296" xr:uid="{00000000-0005-0000-0000-0000BB300000}"/>
    <cellStyle name="SAPBEXheaderText 2 2 4 3" xfId="12297" xr:uid="{00000000-0005-0000-0000-0000BC300000}"/>
    <cellStyle name="SAPBEXheaderText 2 2 4 4" xfId="12298" xr:uid="{00000000-0005-0000-0000-0000BD300000}"/>
    <cellStyle name="SAPBEXheaderText 2 2 4 5" xfId="12299" xr:uid="{00000000-0005-0000-0000-0000BE300000}"/>
    <cellStyle name="SAPBEXheaderText 2 2 4 6" xfId="12300" xr:uid="{00000000-0005-0000-0000-0000BF300000}"/>
    <cellStyle name="SAPBEXheaderText 2 2 5" xfId="12301" xr:uid="{00000000-0005-0000-0000-0000C0300000}"/>
    <cellStyle name="SAPBEXheaderText 2 2 5 2" xfId="12302" xr:uid="{00000000-0005-0000-0000-0000C1300000}"/>
    <cellStyle name="SAPBEXheaderText 2 2 5 3" xfId="12303" xr:uid="{00000000-0005-0000-0000-0000C2300000}"/>
    <cellStyle name="SAPBEXheaderText 2 2 5 4" xfId="12304" xr:uid="{00000000-0005-0000-0000-0000C3300000}"/>
    <cellStyle name="SAPBEXheaderText 2 2 5 5" xfId="12305" xr:uid="{00000000-0005-0000-0000-0000C4300000}"/>
    <cellStyle name="SAPBEXheaderText 2 2 5 6" xfId="12306" xr:uid="{00000000-0005-0000-0000-0000C5300000}"/>
    <cellStyle name="SAPBEXheaderText 2 2 6" xfId="12307" xr:uid="{00000000-0005-0000-0000-0000C6300000}"/>
    <cellStyle name="SAPBEXheaderText 2 2 7" xfId="12308" xr:uid="{00000000-0005-0000-0000-0000C7300000}"/>
    <cellStyle name="SAPBEXheaderText 2 2 8" xfId="12309" xr:uid="{00000000-0005-0000-0000-0000C8300000}"/>
    <cellStyle name="SAPBEXheaderText 2 3" xfId="12310" xr:uid="{00000000-0005-0000-0000-0000C9300000}"/>
    <cellStyle name="SAPBEXheaderText 2 3 2" xfId="12311" xr:uid="{00000000-0005-0000-0000-0000CA300000}"/>
    <cellStyle name="SAPBEXheaderText 2 3 2 2" xfId="12312" xr:uid="{00000000-0005-0000-0000-0000CB300000}"/>
    <cellStyle name="SAPBEXheaderText 2 3 2 3" xfId="12313" xr:uid="{00000000-0005-0000-0000-0000CC300000}"/>
    <cellStyle name="SAPBEXheaderText 2 3 2 4" xfId="12314" xr:uid="{00000000-0005-0000-0000-0000CD300000}"/>
    <cellStyle name="SAPBEXheaderText 2 3 2 5" xfId="12315" xr:uid="{00000000-0005-0000-0000-0000CE300000}"/>
    <cellStyle name="SAPBEXheaderText 2 3 2 6" xfId="12316" xr:uid="{00000000-0005-0000-0000-0000CF300000}"/>
    <cellStyle name="SAPBEXheaderText 2 3 3" xfId="12317" xr:uid="{00000000-0005-0000-0000-0000D0300000}"/>
    <cellStyle name="SAPBEXheaderText 2 3 3 2" xfId="12318" xr:uid="{00000000-0005-0000-0000-0000D1300000}"/>
    <cellStyle name="SAPBEXheaderText 2 3 3 3" xfId="12319" xr:uid="{00000000-0005-0000-0000-0000D2300000}"/>
    <cellStyle name="SAPBEXheaderText 2 3 3 4" xfId="12320" xr:uid="{00000000-0005-0000-0000-0000D3300000}"/>
    <cellStyle name="SAPBEXheaderText 2 3 3 5" xfId="12321" xr:uid="{00000000-0005-0000-0000-0000D4300000}"/>
    <cellStyle name="SAPBEXheaderText 2 3 3 6" xfId="12322" xr:uid="{00000000-0005-0000-0000-0000D5300000}"/>
    <cellStyle name="SAPBEXheaderText 2 3 4" xfId="12323" xr:uid="{00000000-0005-0000-0000-0000D6300000}"/>
    <cellStyle name="SAPBEXheaderText 2 3 4 2" xfId="12324" xr:uid="{00000000-0005-0000-0000-0000D7300000}"/>
    <cellStyle name="SAPBEXheaderText 2 3 4 3" xfId="12325" xr:uid="{00000000-0005-0000-0000-0000D8300000}"/>
    <cellStyle name="SAPBEXheaderText 2 3 4 4" xfId="12326" xr:uid="{00000000-0005-0000-0000-0000D9300000}"/>
    <cellStyle name="SAPBEXheaderText 2 3 4 5" xfId="12327" xr:uid="{00000000-0005-0000-0000-0000DA300000}"/>
    <cellStyle name="SAPBEXheaderText 2 3 4 6" xfId="12328" xr:uid="{00000000-0005-0000-0000-0000DB300000}"/>
    <cellStyle name="SAPBEXheaderText 2 3 5" xfId="12329" xr:uid="{00000000-0005-0000-0000-0000DC300000}"/>
    <cellStyle name="SAPBEXheaderText 2 3 5 2" xfId="12330" xr:uid="{00000000-0005-0000-0000-0000DD300000}"/>
    <cellStyle name="SAPBEXheaderText 2 3 5 3" xfId="12331" xr:uid="{00000000-0005-0000-0000-0000DE300000}"/>
    <cellStyle name="SAPBEXheaderText 2 3 5 4" xfId="12332" xr:uid="{00000000-0005-0000-0000-0000DF300000}"/>
    <cellStyle name="SAPBEXheaderText 2 3 5 5" xfId="12333" xr:uid="{00000000-0005-0000-0000-0000E0300000}"/>
    <cellStyle name="SAPBEXheaderText 2 3 5 6" xfId="12334" xr:uid="{00000000-0005-0000-0000-0000E1300000}"/>
    <cellStyle name="SAPBEXheaderText 2 3 6" xfId="12335" xr:uid="{00000000-0005-0000-0000-0000E2300000}"/>
    <cellStyle name="SAPBEXheaderText 2 3 7" xfId="12336" xr:uid="{00000000-0005-0000-0000-0000E3300000}"/>
    <cellStyle name="SAPBEXheaderText 2 3 8" xfId="12337" xr:uid="{00000000-0005-0000-0000-0000E4300000}"/>
    <cellStyle name="SAPBEXheaderText 2 4" xfId="12338" xr:uid="{00000000-0005-0000-0000-0000E5300000}"/>
    <cellStyle name="SAPBEXheaderText 2 4 2" xfId="12339" xr:uid="{00000000-0005-0000-0000-0000E6300000}"/>
    <cellStyle name="SAPBEXheaderText 2 4 2 2" xfId="12340" xr:uid="{00000000-0005-0000-0000-0000E7300000}"/>
    <cellStyle name="SAPBEXheaderText 2 4 2 3" xfId="12341" xr:uid="{00000000-0005-0000-0000-0000E8300000}"/>
    <cellStyle name="SAPBEXheaderText 2 4 2 4" xfId="12342" xr:uid="{00000000-0005-0000-0000-0000E9300000}"/>
    <cellStyle name="SAPBEXheaderText 2 4 2 5" xfId="12343" xr:uid="{00000000-0005-0000-0000-0000EA300000}"/>
    <cellStyle name="SAPBEXheaderText 2 4 2 6" xfId="12344" xr:uid="{00000000-0005-0000-0000-0000EB300000}"/>
    <cellStyle name="SAPBEXheaderText 2 4 3" xfId="12345" xr:uid="{00000000-0005-0000-0000-0000EC300000}"/>
    <cellStyle name="SAPBEXheaderText 2 4 3 2" xfId="12346" xr:uid="{00000000-0005-0000-0000-0000ED300000}"/>
    <cellStyle name="SAPBEXheaderText 2 4 3 3" xfId="12347" xr:uid="{00000000-0005-0000-0000-0000EE300000}"/>
    <cellStyle name="SAPBEXheaderText 2 4 3 4" xfId="12348" xr:uid="{00000000-0005-0000-0000-0000EF300000}"/>
    <cellStyle name="SAPBEXheaderText 2 4 3 5" xfId="12349" xr:uid="{00000000-0005-0000-0000-0000F0300000}"/>
    <cellStyle name="SAPBEXheaderText 2 4 3 6" xfId="12350" xr:uid="{00000000-0005-0000-0000-0000F1300000}"/>
    <cellStyle name="SAPBEXheaderText 2 4 4" xfId="12351" xr:uid="{00000000-0005-0000-0000-0000F2300000}"/>
    <cellStyle name="SAPBEXheaderText 2 4 4 2" xfId="12352" xr:uid="{00000000-0005-0000-0000-0000F3300000}"/>
    <cellStyle name="SAPBEXheaderText 2 4 4 3" xfId="12353" xr:uid="{00000000-0005-0000-0000-0000F4300000}"/>
    <cellStyle name="SAPBEXheaderText 2 4 4 4" xfId="12354" xr:uid="{00000000-0005-0000-0000-0000F5300000}"/>
    <cellStyle name="SAPBEXheaderText 2 4 4 5" xfId="12355" xr:uid="{00000000-0005-0000-0000-0000F6300000}"/>
    <cellStyle name="SAPBEXheaderText 2 4 4 6" xfId="12356" xr:uid="{00000000-0005-0000-0000-0000F7300000}"/>
    <cellStyle name="SAPBEXheaderText 2 4 5" xfId="12357" xr:uid="{00000000-0005-0000-0000-0000F8300000}"/>
    <cellStyle name="SAPBEXheaderText 2 4 5 2" xfId="12358" xr:uid="{00000000-0005-0000-0000-0000F9300000}"/>
    <cellStyle name="SAPBEXheaderText 2 4 5 3" xfId="12359" xr:uid="{00000000-0005-0000-0000-0000FA300000}"/>
    <cellStyle name="SAPBEXheaderText 2 4 5 4" xfId="12360" xr:uid="{00000000-0005-0000-0000-0000FB300000}"/>
    <cellStyle name="SAPBEXheaderText 2 4 5 5" xfId="12361" xr:uid="{00000000-0005-0000-0000-0000FC300000}"/>
    <cellStyle name="SAPBEXheaderText 2 4 5 6" xfId="12362" xr:uid="{00000000-0005-0000-0000-0000FD300000}"/>
    <cellStyle name="SAPBEXheaderText 2 4 6" xfId="12363" xr:uid="{00000000-0005-0000-0000-0000FE300000}"/>
    <cellStyle name="SAPBEXheaderText 2 4 7" xfId="12364" xr:uid="{00000000-0005-0000-0000-0000FF300000}"/>
    <cellStyle name="SAPBEXheaderText 2 4 8" xfId="12365" xr:uid="{00000000-0005-0000-0000-000000310000}"/>
    <cellStyle name="SAPBEXheaderText 2 5" xfId="12366" xr:uid="{00000000-0005-0000-0000-000001310000}"/>
    <cellStyle name="SAPBEXheaderText 2 5 2" xfId="12367" xr:uid="{00000000-0005-0000-0000-000002310000}"/>
    <cellStyle name="SAPBEXheaderText 2 5 3" xfId="12368" xr:uid="{00000000-0005-0000-0000-000003310000}"/>
    <cellStyle name="SAPBEXheaderText 2 5 4" xfId="12369" xr:uid="{00000000-0005-0000-0000-000004310000}"/>
    <cellStyle name="SAPBEXheaderText 2 6" xfId="12370" xr:uid="{00000000-0005-0000-0000-000005310000}"/>
    <cellStyle name="SAPBEXheaderText 2 6 2" xfId="12371" xr:uid="{00000000-0005-0000-0000-000006310000}"/>
    <cellStyle name="SAPBEXheaderText 2 6 3" xfId="12372" xr:uid="{00000000-0005-0000-0000-000007310000}"/>
    <cellStyle name="SAPBEXheaderText 2 6 4" xfId="12373" xr:uid="{00000000-0005-0000-0000-000008310000}"/>
    <cellStyle name="SAPBEXheaderText 2 7" xfId="12374" xr:uid="{00000000-0005-0000-0000-000009310000}"/>
    <cellStyle name="SAPBEXheaderText 2 7 2" xfId="12375" xr:uid="{00000000-0005-0000-0000-00000A310000}"/>
    <cellStyle name="SAPBEXheaderText 2 7 3" xfId="12376" xr:uid="{00000000-0005-0000-0000-00000B310000}"/>
    <cellStyle name="SAPBEXheaderText 2 7 4" xfId="12377" xr:uid="{00000000-0005-0000-0000-00000C310000}"/>
    <cellStyle name="SAPBEXheaderText 2 8" xfId="12378" xr:uid="{00000000-0005-0000-0000-00000D310000}"/>
    <cellStyle name="SAPBEXheaderText 2 8 2" xfId="12379" xr:uid="{00000000-0005-0000-0000-00000E310000}"/>
    <cellStyle name="SAPBEXheaderText 2 8 3" xfId="12380" xr:uid="{00000000-0005-0000-0000-00000F310000}"/>
    <cellStyle name="SAPBEXheaderText 2 8 4" xfId="12381" xr:uid="{00000000-0005-0000-0000-000010310000}"/>
    <cellStyle name="SAPBEXheaderText 2 9" xfId="12382" xr:uid="{00000000-0005-0000-0000-000011310000}"/>
    <cellStyle name="SAPBEXheaderText 2 9 2" xfId="12383" xr:uid="{00000000-0005-0000-0000-000012310000}"/>
    <cellStyle name="SAPBEXheaderText 2 9 3" xfId="12384" xr:uid="{00000000-0005-0000-0000-000013310000}"/>
    <cellStyle name="SAPBEXheaderText 2 9 4" xfId="12385" xr:uid="{00000000-0005-0000-0000-000014310000}"/>
    <cellStyle name="SAPBEXheaderText 20" xfId="12386" xr:uid="{00000000-0005-0000-0000-000015310000}"/>
    <cellStyle name="SAPBEXheaderText 20 2" xfId="12387" xr:uid="{00000000-0005-0000-0000-000016310000}"/>
    <cellStyle name="SAPBEXheaderText 20 3" xfId="12388" xr:uid="{00000000-0005-0000-0000-000017310000}"/>
    <cellStyle name="SAPBEXheaderText 20 4" xfId="12389" xr:uid="{00000000-0005-0000-0000-000018310000}"/>
    <cellStyle name="SAPBEXheaderText 20 5" xfId="12390" xr:uid="{00000000-0005-0000-0000-000019310000}"/>
    <cellStyle name="SAPBEXheaderText 20 6" xfId="12391" xr:uid="{00000000-0005-0000-0000-00001A310000}"/>
    <cellStyle name="SAPBEXheaderText 21" xfId="12392" xr:uid="{00000000-0005-0000-0000-00001B310000}"/>
    <cellStyle name="SAPBEXheaderText 21 2" xfId="12393" xr:uid="{00000000-0005-0000-0000-00001C310000}"/>
    <cellStyle name="SAPBEXheaderText 21 3" xfId="12394" xr:uid="{00000000-0005-0000-0000-00001D310000}"/>
    <cellStyle name="SAPBEXheaderText 21 4" xfId="12395" xr:uid="{00000000-0005-0000-0000-00001E310000}"/>
    <cellStyle name="SAPBEXheaderText 21 5" xfId="12396" xr:uid="{00000000-0005-0000-0000-00001F310000}"/>
    <cellStyle name="SAPBEXheaderText 21 6" xfId="12397" xr:uid="{00000000-0005-0000-0000-000020310000}"/>
    <cellStyle name="SAPBEXheaderText 22" xfId="12398" xr:uid="{00000000-0005-0000-0000-000021310000}"/>
    <cellStyle name="SAPBEXheaderText 22 2" xfId="12399" xr:uid="{00000000-0005-0000-0000-000022310000}"/>
    <cellStyle name="SAPBEXheaderText 22 3" xfId="12400" xr:uid="{00000000-0005-0000-0000-000023310000}"/>
    <cellStyle name="SAPBEXheaderText 22 4" xfId="12401" xr:uid="{00000000-0005-0000-0000-000024310000}"/>
    <cellStyle name="SAPBEXheaderText 22 5" xfId="12402" xr:uid="{00000000-0005-0000-0000-000025310000}"/>
    <cellStyle name="SAPBEXheaderText 22 6" xfId="12403" xr:uid="{00000000-0005-0000-0000-000026310000}"/>
    <cellStyle name="SAPBEXheaderText 23" xfId="12404" xr:uid="{00000000-0005-0000-0000-000027310000}"/>
    <cellStyle name="SAPBEXheaderText 23 2" xfId="12405" xr:uid="{00000000-0005-0000-0000-000028310000}"/>
    <cellStyle name="SAPBEXheaderText 23 3" xfId="12406" xr:uid="{00000000-0005-0000-0000-000029310000}"/>
    <cellStyle name="SAPBEXheaderText 23 4" xfId="12407" xr:uid="{00000000-0005-0000-0000-00002A310000}"/>
    <cellStyle name="SAPBEXheaderText 23 5" xfId="12408" xr:uid="{00000000-0005-0000-0000-00002B310000}"/>
    <cellStyle name="SAPBEXheaderText 23 6" xfId="12409" xr:uid="{00000000-0005-0000-0000-00002C310000}"/>
    <cellStyle name="SAPBEXheaderText 24" xfId="12410" xr:uid="{00000000-0005-0000-0000-00002D310000}"/>
    <cellStyle name="SAPBEXheaderText 24 2" xfId="12411" xr:uid="{00000000-0005-0000-0000-00002E310000}"/>
    <cellStyle name="SAPBEXheaderText 24 3" xfId="12412" xr:uid="{00000000-0005-0000-0000-00002F310000}"/>
    <cellStyle name="SAPBEXheaderText 24 4" xfId="12413" xr:uid="{00000000-0005-0000-0000-000030310000}"/>
    <cellStyle name="SAPBEXheaderText 24 5" xfId="12414" xr:uid="{00000000-0005-0000-0000-000031310000}"/>
    <cellStyle name="SAPBEXheaderText 24 6" xfId="12415" xr:uid="{00000000-0005-0000-0000-000032310000}"/>
    <cellStyle name="SAPBEXheaderText 25" xfId="12416" xr:uid="{00000000-0005-0000-0000-000033310000}"/>
    <cellStyle name="SAPBEXheaderText 25 2" xfId="12417" xr:uid="{00000000-0005-0000-0000-000034310000}"/>
    <cellStyle name="SAPBEXheaderText 25 3" xfId="12418" xr:uid="{00000000-0005-0000-0000-000035310000}"/>
    <cellStyle name="SAPBEXheaderText 25 4" xfId="12419" xr:uid="{00000000-0005-0000-0000-000036310000}"/>
    <cellStyle name="SAPBEXheaderText 25 5" xfId="12420" xr:uid="{00000000-0005-0000-0000-000037310000}"/>
    <cellStyle name="SAPBEXheaderText 25 6" xfId="12421" xr:uid="{00000000-0005-0000-0000-000038310000}"/>
    <cellStyle name="SAPBEXheaderText 26" xfId="12422" xr:uid="{00000000-0005-0000-0000-000039310000}"/>
    <cellStyle name="SAPBEXheaderText 26 2" xfId="12423" xr:uid="{00000000-0005-0000-0000-00003A310000}"/>
    <cellStyle name="SAPBEXheaderText 26 3" xfId="12424" xr:uid="{00000000-0005-0000-0000-00003B310000}"/>
    <cellStyle name="SAPBEXheaderText 26 4" xfId="12425" xr:uid="{00000000-0005-0000-0000-00003C310000}"/>
    <cellStyle name="SAPBEXheaderText 26 5" xfId="12426" xr:uid="{00000000-0005-0000-0000-00003D310000}"/>
    <cellStyle name="SAPBEXheaderText 26 6" xfId="12427" xr:uid="{00000000-0005-0000-0000-00003E310000}"/>
    <cellStyle name="SAPBEXheaderText 27" xfId="12428" xr:uid="{00000000-0005-0000-0000-00003F310000}"/>
    <cellStyle name="SAPBEXheaderText 27 2" xfId="12429" xr:uid="{00000000-0005-0000-0000-000040310000}"/>
    <cellStyle name="SAPBEXheaderText 27 3" xfId="12430" xr:uid="{00000000-0005-0000-0000-000041310000}"/>
    <cellStyle name="SAPBEXheaderText 27 4" xfId="12431" xr:uid="{00000000-0005-0000-0000-000042310000}"/>
    <cellStyle name="SAPBEXheaderText 27 5" xfId="12432" xr:uid="{00000000-0005-0000-0000-000043310000}"/>
    <cellStyle name="SAPBEXheaderText 27 6" xfId="12433" xr:uid="{00000000-0005-0000-0000-000044310000}"/>
    <cellStyle name="SAPBEXheaderText 28" xfId="12434" xr:uid="{00000000-0005-0000-0000-000045310000}"/>
    <cellStyle name="SAPBEXheaderText 28 2" xfId="12435" xr:uid="{00000000-0005-0000-0000-000046310000}"/>
    <cellStyle name="SAPBEXheaderText 28 3" xfId="12436" xr:uid="{00000000-0005-0000-0000-000047310000}"/>
    <cellStyle name="SAPBEXheaderText 28 4" xfId="12437" xr:uid="{00000000-0005-0000-0000-000048310000}"/>
    <cellStyle name="SAPBEXheaderText 28 5" xfId="12438" xr:uid="{00000000-0005-0000-0000-000049310000}"/>
    <cellStyle name="SAPBEXheaderText 28 6" xfId="12439" xr:uid="{00000000-0005-0000-0000-00004A310000}"/>
    <cellStyle name="SAPBEXheaderText 29" xfId="12440" xr:uid="{00000000-0005-0000-0000-00004B310000}"/>
    <cellStyle name="SAPBEXheaderText 29 2" xfId="12441" xr:uid="{00000000-0005-0000-0000-00004C310000}"/>
    <cellStyle name="SAPBEXheaderText 29 3" xfId="12442" xr:uid="{00000000-0005-0000-0000-00004D310000}"/>
    <cellStyle name="SAPBEXheaderText 29 4" xfId="12443" xr:uid="{00000000-0005-0000-0000-00004E310000}"/>
    <cellStyle name="SAPBEXheaderText 29 5" xfId="12444" xr:uid="{00000000-0005-0000-0000-00004F310000}"/>
    <cellStyle name="SAPBEXheaderText 29 6" xfId="12445" xr:uid="{00000000-0005-0000-0000-000050310000}"/>
    <cellStyle name="SAPBEXheaderText 3" xfId="12446" xr:uid="{00000000-0005-0000-0000-000051310000}"/>
    <cellStyle name="SAPBEXheaderText 3 10" xfId="12447" xr:uid="{00000000-0005-0000-0000-000052310000}"/>
    <cellStyle name="SAPBEXheaderText 3 11" xfId="12448" xr:uid="{00000000-0005-0000-0000-000053310000}"/>
    <cellStyle name="SAPBEXheaderText 3 12" xfId="12449" xr:uid="{00000000-0005-0000-0000-000054310000}"/>
    <cellStyle name="SAPBEXheaderText 3 2" xfId="12450" xr:uid="{00000000-0005-0000-0000-000055310000}"/>
    <cellStyle name="SAPBEXheaderText 3 2 2" xfId="12451" xr:uid="{00000000-0005-0000-0000-000056310000}"/>
    <cellStyle name="SAPBEXheaderText 3 2 2 2" xfId="12452" xr:uid="{00000000-0005-0000-0000-000057310000}"/>
    <cellStyle name="SAPBEXheaderText 3 2 2 3" xfId="12453" xr:uid="{00000000-0005-0000-0000-000058310000}"/>
    <cellStyle name="SAPBEXheaderText 3 2 2 4" xfId="12454" xr:uid="{00000000-0005-0000-0000-000059310000}"/>
    <cellStyle name="SAPBEXheaderText 3 2 2 5" xfId="12455" xr:uid="{00000000-0005-0000-0000-00005A310000}"/>
    <cellStyle name="SAPBEXheaderText 3 2 2 6" xfId="12456" xr:uid="{00000000-0005-0000-0000-00005B310000}"/>
    <cellStyle name="SAPBEXheaderText 3 2 3" xfId="12457" xr:uid="{00000000-0005-0000-0000-00005C310000}"/>
    <cellStyle name="SAPBEXheaderText 3 2 3 2" xfId="12458" xr:uid="{00000000-0005-0000-0000-00005D310000}"/>
    <cellStyle name="SAPBEXheaderText 3 2 3 3" xfId="12459" xr:uid="{00000000-0005-0000-0000-00005E310000}"/>
    <cellStyle name="SAPBEXheaderText 3 2 3 4" xfId="12460" xr:uid="{00000000-0005-0000-0000-00005F310000}"/>
    <cellStyle name="SAPBEXheaderText 3 2 3 5" xfId="12461" xr:uid="{00000000-0005-0000-0000-000060310000}"/>
    <cellStyle name="SAPBEXheaderText 3 2 3 6" xfId="12462" xr:uid="{00000000-0005-0000-0000-000061310000}"/>
    <cellStyle name="SAPBEXheaderText 3 2 4" xfId="12463" xr:uid="{00000000-0005-0000-0000-000062310000}"/>
    <cellStyle name="SAPBEXheaderText 3 2 4 2" xfId="12464" xr:uid="{00000000-0005-0000-0000-000063310000}"/>
    <cellStyle name="SAPBEXheaderText 3 2 4 3" xfId="12465" xr:uid="{00000000-0005-0000-0000-000064310000}"/>
    <cellStyle name="SAPBEXheaderText 3 2 4 4" xfId="12466" xr:uid="{00000000-0005-0000-0000-000065310000}"/>
    <cellStyle name="SAPBEXheaderText 3 2 4 5" xfId="12467" xr:uid="{00000000-0005-0000-0000-000066310000}"/>
    <cellStyle name="SAPBEXheaderText 3 2 4 6" xfId="12468" xr:uid="{00000000-0005-0000-0000-000067310000}"/>
    <cellStyle name="SAPBEXheaderText 3 2 5" xfId="12469" xr:uid="{00000000-0005-0000-0000-000068310000}"/>
    <cellStyle name="SAPBEXheaderText 3 2 5 2" xfId="12470" xr:uid="{00000000-0005-0000-0000-000069310000}"/>
    <cellStyle name="SAPBEXheaderText 3 2 5 3" xfId="12471" xr:uid="{00000000-0005-0000-0000-00006A310000}"/>
    <cellStyle name="SAPBEXheaderText 3 2 5 4" xfId="12472" xr:uid="{00000000-0005-0000-0000-00006B310000}"/>
    <cellStyle name="SAPBEXheaderText 3 2 5 5" xfId="12473" xr:uid="{00000000-0005-0000-0000-00006C310000}"/>
    <cellStyle name="SAPBEXheaderText 3 2 5 6" xfId="12474" xr:uid="{00000000-0005-0000-0000-00006D310000}"/>
    <cellStyle name="SAPBEXheaderText 3 2 6" xfId="12475" xr:uid="{00000000-0005-0000-0000-00006E310000}"/>
    <cellStyle name="SAPBEXheaderText 3 2 7" xfId="12476" xr:uid="{00000000-0005-0000-0000-00006F310000}"/>
    <cellStyle name="SAPBEXheaderText 3 2 8" xfId="12477" xr:uid="{00000000-0005-0000-0000-000070310000}"/>
    <cellStyle name="SAPBEXheaderText 3 3" xfId="12478" xr:uid="{00000000-0005-0000-0000-000071310000}"/>
    <cellStyle name="SAPBEXheaderText 3 3 2" xfId="12479" xr:uid="{00000000-0005-0000-0000-000072310000}"/>
    <cellStyle name="SAPBEXheaderText 3 3 3" xfId="12480" xr:uid="{00000000-0005-0000-0000-000073310000}"/>
    <cellStyle name="SAPBEXheaderText 3 3 4" xfId="12481" xr:uid="{00000000-0005-0000-0000-000074310000}"/>
    <cellStyle name="SAPBEXheaderText 3 3 5" xfId="12482" xr:uid="{00000000-0005-0000-0000-000075310000}"/>
    <cellStyle name="SAPBEXheaderText 3 3 6" xfId="12483" xr:uid="{00000000-0005-0000-0000-000076310000}"/>
    <cellStyle name="SAPBEXheaderText 3 4" xfId="12484" xr:uid="{00000000-0005-0000-0000-000077310000}"/>
    <cellStyle name="SAPBEXheaderText 3 4 2" xfId="12485" xr:uid="{00000000-0005-0000-0000-000078310000}"/>
    <cellStyle name="SAPBEXheaderText 3 4 3" xfId="12486" xr:uid="{00000000-0005-0000-0000-000079310000}"/>
    <cellStyle name="SAPBEXheaderText 3 4 4" xfId="12487" xr:uid="{00000000-0005-0000-0000-00007A310000}"/>
    <cellStyle name="SAPBEXheaderText 3 4 5" xfId="12488" xr:uid="{00000000-0005-0000-0000-00007B310000}"/>
    <cellStyle name="SAPBEXheaderText 3 4 6" xfId="12489" xr:uid="{00000000-0005-0000-0000-00007C310000}"/>
    <cellStyle name="SAPBEXheaderText 3 5" xfId="12490" xr:uid="{00000000-0005-0000-0000-00007D310000}"/>
    <cellStyle name="SAPBEXheaderText 3 5 2" xfId="12491" xr:uid="{00000000-0005-0000-0000-00007E310000}"/>
    <cellStyle name="SAPBEXheaderText 3 5 3" xfId="12492" xr:uid="{00000000-0005-0000-0000-00007F310000}"/>
    <cellStyle name="SAPBEXheaderText 3 5 4" xfId="12493" xr:uid="{00000000-0005-0000-0000-000080310000}"/>
    <cellStyle name="SAPBEXheaderText 3 6" xfId="12494" xr:uid="{00000000-0005-0000-0000-000081310000}"/>
    <cellStyle name="SAPBEXheaderText 3 6 2" xfId="12495" xr:uid="{00000000-0005-0000-0000-000082310000}"/>
    <cellStyle name="SAPBEXheaderText 3 6 3" xfId="12496" xr:uid="{00000000-0005-0000-0000-000083310000}"/>
    <cellStyle name="SAPBEXheaderText 3 6 4" xfId="12497" xr:uid="{00000000-0005-0000-0000-000084310000}"/>
    <cellStyle name="SAPBEXheaderText 3 7" xfId="12498" xr:uid="{00000000-0005-0000-0000-000085310000}"/>
    <cellStyle name="SAPBEXheaderText 3 7 2" xfId="12499" xr:uid="{00000000-0005-0000-0000-000086310000}"/>
    <cellStyle name="SAPBEXheaderText 3 7 3" xfId="12500" xr:uid="{00000000-0005-0000-0000-000087310000}"/>
    <cellStyle name="SAPBEXheaderText 3 7 4" xfId="12501" xr:uid="{00000000-0005-0000-0000-000088310000}"/>
    <cellStyle name="SAPBEXheaderText 3 8" xfId="12502" xr:uid="{00000000-0005-0000-0000-000089310000}"/>
    <cellStyle name="SAPBEXheaderText 3 9" xfId="12503" xr:uid="{00000000-0005-0000-0000-00008A310000}"/>
    <cellStyle name="SAPBEXheaderText 30" xfId="12504" xr:uid="{00000000-0005-0000-0000-00008B310000}"/>
    <cellStyle name="SAPBEXheaderText 30 2" xfId="12505" xr:uid="{00000000-0005-0000-0000-00008C310000}"/>
    <cellStyle name="SAPBEXheaderText 30 3" xfId="12506" xr:uid="{00000000-0005-0000-0000-00008D310000}"/>
    <cellStyle name="SAPBEXheaderText 30 4" xfId="12507" xr:uid="{00000000-0005-0000-0000-00008E310000}"/>
    <cellStyle name="SAPBEXheaderText 30 5" xfId="12508" xr:uid="{00000000-0005-0000-0000-00008F310000}"/>
    <cellStyle name="SAPBEXheaderText 30 6" xfId="12509" xr:uid="{00000000-0005-0000-0000-000090310000}"/>
    <cellStyle name="SAPBEXheaderText 31" xfId="12510" xr:uid="{00000000-0005-0000-0000-000091310000}"/>
    <cellStyle name="SAPBEXheaderText 31 2" xfId="12511" xr:uid="{00000000-0005-0000-0000-000092310000}"/>
    <cellStyle name="SAPBEXheaderText 31 3" xfId="12512" xr:uid="{00000000-0005-0000-0000-000093310000}"/>
    <cellStyle name="SAPBEXheaderText 31 4" xfId="12513" xr:uid="{00000000-0005-0000-0000-000094310000}"/>
    <cellStyle name="SAPBEXheaderText 31 5" xfId="12514" xr:uid="{00000000-0005-0000-0000-000095310000}"/>
    <cellStyle name="SAPBEXheaderText 31 6" xfId="12515" xr:uid="{00000000-0005-0000-0000-000096310000}"/>
    <cellStyle name="SAPBEXheaderText 32" xfId="12516" xr:uid="{00000000-0005-0000-0000-000097310000}"/>
    <cellStyle name="SAPBEXheaderText 32 2" xfId="12517" xr:uid="{00000000-0005-0000-0000-000098310000}"/>
    <cellStyle name="SAPBEXheaderText 32 3" xfId="12518" xr:uid="{00000000-0005-0000-0000-000099310000}"/>
    <cellStyle name="SAPBEXheaderText 32 4" xfId="12519" xr:uid="{00000000-0005-0000-0000-00009A310000}"/>
    <cellStyle name="SAPBEXheaderText 32 5" xfId="12520" xr:uid="{00000000-0005-0000-0000-00009B310000}"/>
    <cellStyle name="SAPBEXheaderText 32 6" xfId="12521" xr:uid="{00000000-0005-0000-0000-00009C310000}"/>
    <cellStyle name="SAPBEXheaderText 33" xfId="12522" xr:uid="{00000000-0005-0000-0000-00009D310000}"/>
    <cellStyle name="SAPBEXheaderText 34" xfId="12523" xr:uid="{00000000-0005-0000-0000-00009E310000}"/>
    <cellStyle name="SAPBEXheaderText 35" xfId="12524" xr:uid="{00000000-0005-0000-0000-00009F310000}"/>
    <cellStyle name="SAPBEXheaderText 36" xfId="12525" xr:uid="{00000000-0005-0000-0000-0000A0310000}"/>
    <cellStyle name="SAPBEXheaderText 37" xfId="12526" xr:uid="{00000000-0005-0000-0000-0000A1310000}"/>
    <cellStyle name="SAPBEXheaderText 38" xfId="12527" xr:uid="{00000000-0005-0000-0000-0000A2310000}"/>
    <cellStyle name="SAPBEXheaderText 39" xfId="12528" xr:uid="{00000000-0005-0000-0000-0000A3310000}"/>
    <cellStyle name="SAPBEXheaderText 4" xfId="12529" xr:uid="{00000000-0005-0000-0000-0000A4310000}"/>
    <cellStyle name="SAPBEXheaderText 4 2" xfId="12530" xr:uid="{00000000-0005-0000-0000-0000A5310000}"/>
    <cellStyle name="SAPBEXheaderText 4 3" xfId="12531" xr:uid="{00000000-0005-0000-0000-0000A6310000}"/>
    <cellStyle name="SAPBEXheaderText 4 4" xfId="12532" xr:uid="{00000000-0005-0000-0000-0000A7310000}"/>
    <cellStyle name="SAPBEXheaderText 4 5" xfId="12533" xr:uid="{00000000-0005-0000-0000-0000A8310000}"/>
    <cellStyle name="SAPBEXheaderText 4 6" xfId="12534" xr:uid="{00000000-0005-0000-0000-0000A9310000}"/>
    <cellStyle name="SAPBEXheaderText 40" xfId="12535" xr:uid="{00000000-0005-0000-0000-0000AA310000}"/>
    <cellStyle name="SAPBEXheaderText 41" xfId="12536" xr:uid="{00000000-0005-0000-0000-0000AB310000}"/>
    <cellStyle name="SAPBEXheaderText 42" xfId="12537" xr:uid="{00000000-0005-0000-0000-0000AC310000}"/>
    <cellStyle name="SAPBEXheaderText 43" xfId="12538" xr:uid="{00000000-0005-0000-0000-0000AD310000}"/>
    <cellStyle name="SAPBEXheaderText 44" xfId="12539" xr:uid="{00000000-0005-0000-0000-0000AE310000}"/>
    <cellStyle name="SAPBEXheaderText 45" xfId="12540" xr:uid="{00000000-0005-0000-0000-0000AF310000}"/>
    <cellStyle name="SAPBEXheaderText 46" xfId="12541" xr:uid="{00000000-0005-0000-0000-0000B0310000}"/>
    <cellStyle name="SAPBEXheaderText 47" xfId="12542" xr:uid="{00000000-0005-0000-0000-0000B1310000}"/>
    <cellStyle name="SAPBEXheaderText 48" xfId="12543" xr:uid="{00000000-0005-0000-0000-0000B2310000}"/>
    <cellStyle name="SAPBEXheaderText 49" xfId="12544" xr:uid="{00000000-0005-0000-0000-0000B3310000}"/>
    <cellStyle name="SAPBEXheaderText 5" xfId="12545" xr:uid="{00000000-0005-0000-0000-0000B4310000}"/>
    <cellStyle name="SAPBEXheaderText 5 2" xfId="12546" xr:uid="{00000000-0005-0000-0000-0000B5310000}"/>
    <cellStyle name="SAPBEXheaderText 5 3" xfId="12547" xr:uid="{00000000-0005-0000-0000-0000B6310000}"/>
    <cellStyle name="SAPBEXheaderText 5 4" xfId="12548" xr:uid="{00000000-0005-0000-0000-0000B7310000}"/>
    <cellStyle name="SAPBEXheaderText 5 5" xfId="12549" xr:uid="{00000000-0005-0000-0000-0000B8310000}"/>
    <cellStyle name="SAPBEXheaderText 5 6" xfId="12550" xr:uid="{00000000-0005-0000-0000-0000B9310000}"/>
    <cellStyle name="SAPBEXheaderText 50" xfId="12551" xr:uid="{00000000-0005-0000-0000-0000BA310000}"/>
    <cellStyle name="SAPBEXheaderText 51" xfId="12552" xr:uid="{00000000-0005-0000-0000-0000BB310000}"/>
    <cellStyle name="SAPBEXheaderText 52" xfId="12553" xr:uid="{00000000-0005-0000-0000-0000BC310000}"/>
    <cellStyle name="SAPBEXheaderText 53" xfId="12554" xr:uid="{00000000-0005-0000-0000-0000BD310000}"/>
    <cellStyle name="SAPBEXheaderText 54" xfId="12555" xr:uid="{00000000-0005-0000-0000-0000BE310000}"/>
    <cellStyle name="SAPBEXheaderText 55" xfId="12556" xr:uid="{00000000-0005-0000-0000-0000BF310000}"/>
    <cellStyle name="SAPBEXheaderText 56" xfId="12557" xr:uid="{00000000-0005-0000-0000-0000C0310000}"/>
    <cellStyle name="SAPBEXheaderText 57" xfId="12558" xr:uid="{00000000-0005-0000-0000-0000C1310000}"/>
    <cellStyle name="SAPBEXheaderText 58" xfId="12559" xr:uid="{00000000-0005-0000-0000-0000C2310000}"/>
    <cellStyle name="SAPBEXheaderText 59" xfId="12560" xr:uid="{00000000-0005-0000-0000-0000C3310000}"/>
    <cellStyle name="SAPBEXheaderText 6" xfId="12561" xr:uid="{00000000-0005-0000-0000-0000C4310000}"/>
    <cellStyle name="SAPBEXheaderText 6 10" xfId="12562" xr:uid="{00000000-0005-0000-0000-0000C5310000}"/>
    <cellStyle name="SAPBEXheaderText 6 2" xfId="12563" xr:uid="{00000000-0005-0000-0000-0000C6310000}"/>
    <cellStyle name="SAPBEXheaderText 6 2 2" xfId="12564" xr:uid="{00000000-0005-0000-0000-0000C7310000}"/>
    <cellStyle name="SAPBEXheaderText 6 2 3" xfId="12565" xr:uid="{00000000-0005-0000-0000-0000C8310000}"/>
    <cellStyle name="SAPBEXheaderText 6 2 4" xfId="12566" xr:uid="{00000000-0005-0000-0000-0000C9310000}"/>
    <cellStyle name="SAPBEXheaderText 6 3" xfId="12567" xr:uid="{00000000-0005-0000-0000-0000CA310000}"/>
    <cellStyle name="SAPBEXheaderText 6 3 2" xfId="12568" xr:uid="{00000000-0005-0000-0000-0000CB310000}"/>
    <cellStyle name="SAPBEXheaderText 6 3 3" xfId="12569" xr:uid="{00000000-0005-0000-0000-0000CC310000}"/>
    <cellStyle name="SAPBEXheaderText 6 3 4" xfId="12570" xr:uid="{00000000-0005-0000-0000-0000CD310000}"/>
    <cellStyle name="SAPBEXheaderText 6 4" xfId="12571" xr:uid="{00000000-0005-0000-0000-0000CE310000}"/>
    <cellStyle name="SAPBEXheaderText 6 4 2" xfId="12572" xr:uid="{00000000-0005-0000-0000-0000CF310000}"/>
    <cellStyle name="SAPBEXheaderText 6 4 3" xfId="12573" xr:uid="{00000000-0005-0000-0000-0000D0310000}"/>
    <cellStyle name="SAPBEXheaderText 6 4 4" xfId="12574" xr:uid="{00000000-0005-0000-0000-0000D1310000}"/>
    <cellStyle name="SAPBEXheaderText 6 5" xfId="12575" xr:uid="{00000000-0005-0000-0000-0000D2310000}"/>
    <cellStyle name="SAPBEXheaderText 6 5 2" xfId="12576" xr:uid="{00000000-0005-0000-0000-0000D3310000}"/>
    <cellStyle name="SAPBEXheaderText 6 5 3" xfId="12577" xr:uid="{00000000-0005-0000-0000-0000D4310000}"/>
    <cellStyle name="SAPBEXheaderText 6 5 4" xfId="12578" xr:uid="{00000000-0005-0000-0000-0000D5310000}"/>
    <cellStyle name="SAPBEXheaderText 6 6" xfId="12579" xr:uid="{00000000-0005-0000-0000-0000D6310000}"/>
    <cellStyle name="SAPBEXheaderText 6 7" xfId="12580" xr:uid="{00000000-0005-0000-0000-0000D7310000}"/>
    <cellStyle name="SAPBEXheaderText 6 8" xfId="12581" xr:uid="{00000000-0005-0000-0000-0000D8310000}"/>
    <cellStyle name="SAPBEXheaderText 6 9" xfId="12582" xr:uid="{00000000-0005-0000-0000-0000D9310000}"/>
    <cellStyle name="SAPBEXheaderText 60" xfId="12583" xr:uid="{00000000-0005-0000-0000-0000DA310000}"/>
    <cellStyle name="SAPBEXheaderText 61" xfId="12584" xr:uid="{00000000-0005-0000-0000-0000DB310000}"/>
    <cellStyle name="SAPBEXheaderText 62" xfId="12585" xr:uid="{00000000-0005-0000-0000-0000DC310000}"/>
    <cellStyle name="SAPBEXheaderText 63" xfId="12586" xr:uid="{00000000-0005-0000-0000-0000DD310000}"/>
    <cellStyle name="SAPBEXheaderText 64" xfId="12587" xr:uid="{00000000-0005-0000-0000-0000DE310000}"/>
    <cellStyle name="SAPBEXheaderText 65" xfId="12588" xr:uid="{00000000-0005-0000-0000-0000DF310000}"/>
    <cellStyle name="SAPBEXheaderText 66" xfId="12589" xr:uid="{00000000-0005-0000-0000-0000E0310000}"/>
    <cellStyle name="SAPBEXheaderText 67" xfId="12590" xr:uid="{00000000-0005-0000-0000-0000E1310000}"/>
    <cellStyle name="SAPBEXheaderText 68" xfId="12591" xr:uid="{00000000-0005-0000-0000-0000E2310000}"/>
    <cellStyle name="SAPBEXheaderText 69" xfId="12592" xr:uid="{00000000-0005-0000-0000-0000E3310000}"/>
    <cellStyle name="SAPBEXheaderText 7" xfId="12593" xr:uid="{00000000-0005-0000-0000-0000E4310000}"/>
    <cellStyle name="SAPBEXheaderText 7 10" xfId="12594" xr:uid="{00000000-0005-0000-0000-0000E5310000}"/>
    <cellStyle name="SAPBEXheaderText 7 2" xfId="12595" xr:uid="{00000000-0005-0000-0000-0000E6310000}"/>
    <cellStyle name="SAPBEXheaderText 7 2 2" xfId="12596" xr:uid="{00000000-0005-0000-0000-0000E7310000}"/>
    <cellStyle name="SAPBEXheaderText 7 2 3" xfId="12597" xr:uid="{00000000-0005-0000-0000-0000E8310000}"/>
    <cellStyle name="SAPBEXheaderText 7 2 4" xfId="12598" xr:uid="{00000000-0005-0000-0000-0000E9310000}"/>
    <cellStyle name="SAPBEXheaderText 7 3" xfId="12599" xr:uid="{00000000-0005-0000-0000-0000EA310000}"/>
    <cellStyle name="SAPBEXheaderText 7 3 2" xfId="12600" xr:uid="{00000000-0005-0000-0000-0000EB310000}"/>
    <cellStyle name="SAPBEXheaderText 7 3 3" xfId="12601" xr:uid="{00000000-0005-0000-0000-0000EC310000}"/>
    <cellStyle name="SAPBEXheaderText 7 3 4" xfId="12602" xr:uid="{00000000-0005-0000-0000-0000ED310000}"/>
    <cellStyle name="SAPBEXheaderText 7 4" xfId="12603" xr:uid="{00000000-0005-0000-0000-0000EE310000}"/>
    <cellStyle name="SAPBEXheaderText 7 4 2" xfId="12604" xr:uid="{00000000-0005-0000-0000-0000EF310000}"/>
    <cellStyle name="SAPBEXheaderText 7 4 3" xfId="12605" xr:uid="{00000000-0005-0000-0000-0000F0310000}"/>
    <cellStyle name="SAPBEXheaderText 7 4 4" xfId="12606" xr:uid="{00000000-0005-0000-0000-0000F1310000}"/>
    <cellStyle name="SAPBEXheaderText 7 5" xfId="12607" xr:uid="{00000000-0005-0000-0000-0000F2310000}"/>
    <cellStyle name="SAPBEXheaderText 7 5 2" xfId="12608" xr:uid="{00000000-0005-0000-0000-0000F3310000}"/>
    <cellStyle name="SAPBEXheaderText 7 5 3" xfId="12609" xr:uid="{00000000-0005-0000-0000-0000F4310000}"/>
    <cellStyle name="SAPBEXheaderText 7 5 4" xfId="12610" xr:uid="{00000000-0005-0000-0000-0000F5310000}"/>
    <cellStyle name="SAPBEXheaderText 7 6" xfId="12611" xr:uid="{00000000-0005-0000-0000-0000F6310000}"/>
    <cellStyle name="SAPBEXheaderText 7 7" xfId="12612" xr:uid="{00000000-0005-0000-0000-0000F7310000}"/>
    <cellStyle name="SAPBEXheaderText 7 8" xfId="12613" xr:uid="{00000000-0005-0000-0000-0000F8310000}"/>
    <cellStyle name="SAPBEXheaderText 7 9" xfId="12614" xr:uid="{00000000-0005-0000-0000-0000F9310000}"/>
    <cellStyle name="SAPBEXheaderText 70" xfId="12615" xr:uid="{00000000-0005-0000-0000-0000FA310000}"/>
    <cellStyle name="SAPBEXheaderText 71" xfId="12616" xr:uid="{00000000-0005-0000-0000-0000FB310000}"/>
    <cellStyle name="SAPBEXheaderText 72" xfId="12617" xr:uid="{00000000-0005-0000-0000-0000FC310000}"/>
    <cellStyle name="SAPBEXheaderText 73" xfId="12618" xr:uid="{00000000-0005-0000-0000-0000FD310000}"/>
    <cellStyle name="SAPBEXheaderText 74" xfId="12619" xr:uid="{00000000-0005-0000-0000-0000FE310000}"/>
    <cellStyle name="SAPBEXheaderText 75" xfId="12620" xr:uid="{00000000-0005-0000-0000-0000FF310000}"/>
    <cellStyle name="SAPBEXheaderText 76" xfId="12621" xr:uid="{00000000-0005-0000-0000-000000320000}"/>
    <cellStyle name="SAPBEXheaderText 77" xfId="12622" xr:uid="{00000000-0005-0000-0000-000001320000}"/>
    <cellStyle name="SAPBEXheaderText 78" xfId="12623" xr:uid="{00000000-0005-0000-0000-000002320000}"/>
    <cellStyle name="SAPBEXheaderText 79" xfId="12624" xr:uid="{00000000-0005-0000-0000-000003320000}"/>
    <cellStyle name="SAPBEXheaderText 8" xfId="12625" xr:uid="{00000000-0005-0000-0000-000004320000}"/>
    <cellStyle name="SAPBEXheaderText 8 2" xfId="12626" xr:uid="{00000000-0005-0000-0000-000005320000}"/>
    <cellStyle name="SAPBEXheaderText 8 3" xfId="12627" xr:uid="{00000000-0005-0000-0000-000006320000}"/>
    <cellStyle name="SAPBEXheaderText 8 4" xfId="12628" xr:uid="{00000000-0005-0000-0000-000007320000}"/>
    <cellStyle name="SAPBEXheaderText 8 5" xfId="12629" xr:uid="{00000000-0005-0000-0000-000008320000}"/>
    <cellStyle name="SAPBEXheaderText 8 6" xfId="12630" xr:uid="{00000000-0005-0000-0000-000009320000}"/>
    <cellStyle name="SAPBEXheaderText 80" xfId="12631" xr:uid="{00000000-0005-0000-0000-00000A320000}"/>
    <cellStyle name="SAPBEXheaderText 81" xfId="12632" xr:uid="{00000000-0005-0000-0000-00000B320000}"/>
    <cellStyle name="SAPBEXheaderText 82" xfId="12633" xr:uid="{00000000-0005-0000-0000-00000C320000}"/>
    <cellStyle name="SAPBEXheaderText 83" xfId="12634" xr:uid="{00000000-0005-0000-0000-00000D320000}"/>
    <cellStyle name="SAPBEXheaderText 84" xfId="12635" xr:uid="{00000000-0005-0000-0000-00000E320000}"/>
    <cellStyle name="SAPBEXheaderText 85" xfId="12636" xr:uid="{00000000-0005-0000-0000-00000F320000}"/>
    <cellStyle name="SAPBEXheaderText 86" xfId="12637" xr:uid="{00000000-0005-0000-0000-000010320000}"/>
    <cellStyle name="SAPBEXheaderText 87" xfId="12638" xr:uid="{00000000-0005-0000-0000-000011320000}"/>
    <cellStyle name="SAPBEXheaderText 88" xfId="12639" xr:uid="{00000000-0005-0000-0000-000012320000}"/>
    <cellStyle name="SAPBEXheaderText 89" xfId="12640" xr:uid="{00000000-0005-0000-0000-000013320000}"/>
    <cellStyle name="SAPBEXheaderText 9" xfId="12641" xr:uid="{00000000-0005-0000-0000-000014320000}"/>
    <cellStyle name="SAPBEXheaderText 9 2" xfId="12642" xr:uid="{00000000-0005-0000-0000-000015320000}"/>
    <cellStyle name="SAPBEXheaderText 9 3" xfId="12643" xr:uid="{00000000-0005-0000-0000-000016320000}"/>
    <cellStyle name="SAPBEXheaderText 9 4" xfId="12644" xr:uid="{00000000-0005-0000-0000-000017320000}"/>
    <cellStyle name="SAPBEXheaderText 9 5" xfId="12645" xr:uid="{00000000-0005-0000-0000-000018320000}"/>
    <cellStyle name="SAPBEXheaderText 9 6" xfId="12646" xr:uid="{00000000-0005-0000-0000-000019320000}"/>
    <cellStyle name="SAPBEXheaderText 90" xfId="12647" xr:uid="{00000000-0005-0000-0000-00001A320000}"/>
    <cellStyle name="SAPBEXheaderText 91" xfId="12648" xr:uid="{00000000-0005-0000-0000-00001B320000}"/>
    <cellStyle name="SAPBEXheaderText 92" xfId="12649" xr:uid="{00000000-0005-0000-0000-00001C320000}"/>
    <cellStyle name="SAPBEXheaderText 93" xfId="12650" xr:uid="{00000000-0005-0000-0000-00001D320000}"/>
    <cellStyle name="SAPBEXheaderText 94" xfId="12651" xr:uid="{00000000-0005-0000-0000-00001E320000}"/>
    <cellStyle name="SAPBEXheaderText 95" xfId="12652" xr:uid="{00000000-0005-0000-0000-00001F320000}"/>
    <cellStyle name="SAPBEXheaderText 96" xfId="12653" xr:uid="{00000000-0005-0000-0000-000020320000}"/>
    <cellStyle name="SAPBEXheaderText 97" xfId="12654" xr:uid="{00000000-0005-0000-0000-000021320000}"/>
    <cellStyle name="SAPBEXheaderText 98" xfId="12655" xr:uid="{00000000-0005-0000-0000-000022320000}"/>
    <cellStyle name="SAPBEXheaderText 99" xfId="12656" xr:uid="{00000000-0005-0000-0000-000023320000}"/>
    <cellStyle name="SAPBEXheaderText_2009 12 09 Cash flow (2009)" xfId="12657" xr:uid="{00000000-0005-0000-0000-000024320000}"/>
    <cellStyle name="SAPBEXHLevel0" xfId="12658" xr:uid="{00000000-0005-0000-0000-000025320000}"/>
    <cellStyle name="SAPBEXHLevel0 10" xfId="12659" xr:uid="{00000000-0005-0000-0000-000026320000}"/>
    <cellStyle name="SAPBEXHLevel0 10 2" xfId="12660" xr:uid="{00000000-0005-0000-0000-000027320000}"/>
    <cellStyle name="SAPBEXHLevel0 10 3" xfId="12661" xr:uid="{00000000-0005-0000-0000-000028320000}"/>
    <cellStyle name="SAPBEXHLevel0 10 4" xfId="12662" xr:uid="{00000000-0005-0000-0000-000029320000}"/>
    <cellStyle name="SAPBEXHLevel0 10 5" xfId="12663" xr:uid="{00000000-0005-0000-0000-00002A320000}"/>
    <cellStyle name="SAPBEXHLevel0 10 6" xfId="12664" xr:uid="{00000000-0005-0000-0000-00002B320000}"/>
    <cellStyle name="SAPBEXHLevel0 100" xfId="12665" xr:uid="{00000000-0005-0000-0000-00002C320000}"/>
    <cellStyle name="SAPBEXHLevel0 101" xfId="12666" xr:uid="{00000000-0005-0000-0000-00002D320000}"/>
    <cellStyle name="SAPBEXHLevel0 102" xfId="12667" xr:uid="{00000000-0005-0000-0000-00002E320000}"/>
    <cellStyle name="SAPBEXHLevel0 103" xfId="12668" xr:uid="{00000000-0005-0000-0000-00002F320000}"/>
    <cellStyle name="SAPBEXHLevel0 104" xfId="12669" xr:uid="{00000000-0005-0000-0000-000030320000}"/>
    <cellStyle name="SAPBEXHLevel0 105" xfId="12670" xr:uid="{00000000-0005-0000-0000-000031320000}"/>
    <cellStyle name="SAPBEXHLevel0 106" xfId="12671" xr:uid="{00000000-0005-0000-0000-000032320000}"/>
    <cellStyle name="SAPBEXHLevel0 107" xfId="12672" xr:uid="{00000000-0005-0000-0000-000033320000}"/>
    <cellStyle name="SAPBEXHLevel0 108" xfId="12673" xr:uid="{00000000-0005-0000-0000-000034320000}"/>
    <cellStyle name="SAPBEXHLevel0 109" xfId="12674" xr:uid="{00000000-0005-0000-0000-000035320000}"/>
    <cellStyle name="SAPBEXHLevel0 11" xfId="12675" xr:uid="{00000000-0005-0000-0000-000036320000}"/>
    <cellStyle name="SAPBEXHLevel0 11 2" xfId="12676" xr:uid="{00000000-0005-0000-0000-000037320000}"/>
    <cellStyle name="SAPBEXHLevel0 11 3" xfId="12677" xr:uid="{00000000-0005-0000-0000-000038320000}"/>
    <cellStyle name="SAPBEXHLevel0 11 4" xfId="12678" xr:uid="{00000000-0005-0000-0000-000039320000}"/>
    <cellStyle name="SAPBEXHLevel0 11 5" xfId="12679" xr:uid="{00000000-0005-0000-0000-00003A320000}"/>
    <cellStyle name="SAPBEXHLevel0 11 6" xfId="12680" xr:uid="{00000000-0005-0000-0000-00003B320000}"/>
    <cellStyle name="SAPBEXHLevel0 110" xfId="12681" xr:uid="{00000000-0005-0000-0000-00003C320000}"/>
    <cellStyle name="SAPBEXHLevel0 111" xfId="12682" xr:uid="{00000000-0005-0000-0000-00003D320000}"/>
    <cellStyle name="SAPBEXHLevel0 112" xfId="12683" xr:uid="{00000000-0005-0000-0000-00003E320000}"/>
    <cellStyle name="SAPBEXHLevel0 113" xfId="12684" xr:uid="{00000000-0005-0000-0000-00003F320000}"/>
    <cellStyle name="SAPBEXHLevel0 114" xfId="12685" xr:uid="{00000000-0005-0000-0000-000040320000}"/>
    <cellStyle name="SAPBEXHLevel0 115" xfId="12686" xr:uid="{00000000-0005-0000-0000-000041320000}"/>
    <cellStyle name="SAPBEXHLevel0 116" xfId="12687" xr:uid="{00000000-0005-0000-0000-000042320000}"/>
    <cellStyle name="SAPBEXHLevel0 117" xfId="12688" xr:uid="{00000000-0005-0000-0000-000043320000}"/>
    <cellStyle name="SAPBEXHLevel0 118" xfId="12689" xr:uid="{00000000-0005-0000-0000-000044320000}"/>
    <cellStyle name="SAPBEXHLevel0 119" xfId="12690" xr:uid="{00000000-0005-0000-0000-000045320000}"/>
    <cellStyle name="SAPBEXHLevel0 12" xfId="12691" xr:uid="{00000000-0005-0000-0000-000046320000}"/>
    <cellStyle name="SAPBEXHLevel0 12 2" xfId="12692" xr:uid="{00000000-0005-0000-0000-000047320000}"/>
    <cellStyle name="SAPBEXHLevel0 12 3" xfId="12693" xr:uid="{00000000-0005-0000-0000-000048320000}"/>
    <cellStyle name="SAPBEXHLevel0 12 4" xfId="12694" xr:uid="{00000000-0005-0000-0000-000049320000}"/>
    <cellStyle name="SAPBEXHLevel0 12 5" xfId="12695" xr:uid="{00000000-0005-0000-0000-00004A320000}"/>
    <cellStyle name="SAPBEXHLevel0 12 6" xfId="12696" xr:uid="{00000000-0005-0000-0000-00004B320000}"/>
    <cellStyle name="SAPBEXHLevel0 120" xfId="12697" xr:uid="{00000000-0005-0000-0000-00004C320000}"/>
    <cellStyle name="SAPBEXHLevel0 121" xfId="12698" xr:uid="{00000000-0005-0000-0000-00004D320000}"/>
    <cellStyle name="SAPBEXHLevel0 122" xfId="12699" xr:uid="{00000000-0005-0000-0000-00004E320000}"/>
    <cellStyle name="SAPBEXHLevel0 123" xfId="12700" xr:uid="{00000000-0005-0000-0000-00004F320000}"/>
    <cellStyle name="SAPBEXHLevel0 124" xfId="12701" xr:uid="{00000000-0005-0000-0000-000050320000}"/>
    <cellStyle name="SAPBEXHLevel0 125" xfId="12702" xr:uid="{00000000-0005-0000-0000-000051320000}"/>
    <cellStyle name="SAPBEXHLevel0 126" xfId="12703" xr:uid="{00000000-0005-0000-0000-000052320000}"/>
    <cellStyle name="SAPBEXHLevel0 127" xfId="12704" xr:uid="{00000000-0005-0000-0000-000053320000}"/>
    <cellStyle name="SAPBEXHLevel0 128" xfId="12705" xr:uid="{00000000-0005-0000-0000-000054320000}"/>
    <cellStyle name="SAPBEXHLevel0 129" xfId="12706" xr:uid="{00000000-0005-0000-0000-000055320000}"/>
    <cellStyle name="SAPBEXHLevel0 13" xfId="12707" xr:uid="{00000000-0005-0000-0000-000056320000}"/>
    <cellStyle name="SAPBEXHLevel0 13 2" xfId="12708" xr:uid="{00000000-0005-0000-0000-000057320000}"/>
    <cellStyle name="SAPBEXHLevel0 13 3" xfId="12709" xr:uid="{00000000-0005-0000-0000-000058320000}"/>
    <cellStyle name="SAPBEXHLevel0 13 4" xfId="12710" xr:uid="{00000000-0005-0000-0000-000059320000}"/>
    <cellStyle name="SAPBEXHLevel0 13 5" xfId="12711" xr:uid="{00000000-0005-0000-0000-00005A320000}"/>
    <cellStyle name="SAPBEXHLevel0 13 6" xfId="12712" xr:uid="{00000000-0005-0000-0000-00005B320000}"/>
    <cellStyle name="SAPBEXHLevel0 130" xfId="12713" xr:uid="{00000000-0005-0000-0000-00005C320000}"/>
    <cellStyle name="SAPBEXHLevel0 131" xfId="12714" xr:uid="{00000000-0005-0000-0000-00005D320000}"/>
    <cellStyle name="SAPBEXHLevel0 132" xfId="12715" xr:uid="{00000000-0005-0000-0000-00005E320000}"/>
    <cellStyle name="SAPBEXHLevel0 133" xfId="12716" xr:uid="{00000000-0005-0000-0000-00005F320000}"/>
    <cellStyle name="SAPBEXHLevel0 134" xfId="12717" xr:uid="{00000000-0005-0000-0000-000060320000}"/>
    <cellStyle name="SAPBEXHLevel0 135" xfId="12718" xr:uid="{00000000-0005-0000-0000-000061320000}"/>
    <cellStyle name="SAPBEXHLevel0 136" xfId="12719" xr:uid="{00000000-0005-0000-0000-000062320000}"/>
    <cellStyle name="SAPBEXHLevel0 137" xfId="12720" xr:uid="{00000000-0005-0000-0000-000063320000}"/>
    <cellStyle name="SAPBEXHLevel0 138" xfId="12721" xr:uid="{00000000-0005-0000-0000-000064320000}"/>
    <cellStyle name="SAPBEXHLevel0 139" xfId="12722" xr:uid="{00000000-0005-0000-0000-000065320000}"/>
    <cellStyle name="SAPBEXHLevel0 14" xfId="12723" xr:uid="{00000000-0005-0000-0000-000066320000}"/>
    <cellStyle name="SAPBEXHLevel0 14 2" xfId="12724" xr:uid="{00000000-0005-0000-0000-000067320000}"/>
    <cellStyle name="SAPBEXHLevel0 14 3" xfId="12725" xr:uid="{00000000-0005-0000-0000-000068320000}"/>
    <cellStyle name="SAPBEXHLevel0 14 4" xfId="12726" xr:uid="{00000000-0005-0000-0000-000069320000}"/>
    <cellStyle name="SAPBEXHLevel0 14 5" xfId="12727" xr:uid="{00000000-0005-0000-0000-00006A320000}"/>
    <cellStyle name="SAPBEXHLevel0 14 6" xfId="12728" xr:uid="{00000000-0005-0000-0000-00006B320000}"/>
    <cellStyle name="SAPBEXHLevel0 140" xfId="12729" xr:uid="{00000000-0005-0000-0000-00006C320000}"/>
    <cellStyle name="SAPBEXHLevel0 141" xfId="12730" xr:uid="{00000000-0005-0000-0000-00006D320000}"/>
    <cellStyle name="SAPBEXHLevel0 142" xfId="12731" xr:uid="{00000000-0005-0000-0000-00006E320000}"/>
    <cellStyle name="SAPBEXHLevel0 143" xfId="12732" xr:uid="{00000000-0005-0000-0000-00006F320000}"/>
    <cellStyle name="SAPBEXHLevel0 144" xfId="12733" xr:uid="{00000000-0005-0000-0000-000070320000}"/>
    <cellStyle name="SAPBEXHLevel0 145" xfId="12734" xr:uid="{00000000-0005-0000-0000-000071320000}"/>
    <cellStyle name="SAPBEXHLevel0 146" xfId="12735" xr:uid="{00000000-0005-0000-0000-000072320000}"/>
    <cellStyle name="SAPBEXHLevel0 147" xfId="12736" xr:uid="{00000000-0005-0000-0000-000073320000}"/>
    <cellStyle name="SAPBEXHLevel0 148" xfId="12737" xr:uid="{00000000-0005-0000-0000-000074320000}"/>
    <cellStyle name="SAPBEXHLevel0 149" xfId="12738" xr:uid="{00000000-0005-0000-0000-000075320000}"/>
    <cellStyle name="SAPBEXHLevel0 15" xfId="12739" xr:uid="{00000000-0005-0000-0000-000076320000}"/>
    <cellStyle name="SAPBEXHLevel0 15 2" xfId="12740" xr:uid="{00000000-0005-0000-0000-000077320000}"/>
    <cellStyle name="SAPBEXHLevel0 15 3" xfId="12741" xr:uid="{00000000-0005-0000-0000-000078320000}"/>
    <cellStyle name="SAPBEXHLevel0 15 4" xfId="12742" xr:uid="{00000000-0005-0000-0000-000079320000}"/>
    <cellStyle name="SAPBEXHLevel0 15 5" xfId="12743" xr:uid="{00000000-0005-0000-0000-00007A320000}"/>
    <cellStyle name="SAPBEXHLevel0 15 6" xfId="12744" xr:uid="{00000000-0005-0000-0000-00007B320000}"/>
    <cellStyle name="SAPBEXHLevel0 150" xfId="12745" xr:uid="{00000000-0005-0000-0000-00007C320000}"/>
    <cellStyle name="SAPBEXHLevel0 151" xfId="12746" xr:uid="{00000000-0005-0000-0000-00007D320000}"/>
    <cellStyle name="SAPBEXHLevel0 152" xfId="12747" xr:uid="{00000000-0005-0000-0000-00007E320000}"/>
    <cellStyle name="SAPBEXHLevel0 153" xfId="12748" xr:uid="{00000000-0005-0000-0000-00007F320000}"/>
    <cellStyle name="SAPBEXHLevel0 154" xfId="12749" xr:uid="{00000000-0005-0000-0000-000080320000}"/>
    <cellStyle name="SAPBEXHLevel0 155" xfId="12750" xr:uid="{00000000-0005-0000-0000-000081320000}"/>
    <cellStyle name="SAPBEXHLevel0 156" xfId="12751" xr:uid="{00000000-0005-0000-0000-000082320000}"/>
    <cellStyle name="SAPBEXHLevel0 157" xfId="12752" xr:uid="{00000000-0005-0000-0000-000083320000}"/>
    <cellStyle name="SAPBEXHLevel0 158" xfId="12753" xr:uid="{00000000-0005-0000-0000-000084320000}"/>
    <cellStyle name="SAPBEXHLevel0 159" xfId="12754" xr:uid="{00000000-0005-0000-0000-000085320000}"/>
    <cellStyle name="SAPBEXHLevel0 16" xfId="12755" xr:uid="{00000000-0005-0000-0000-000086320000}"/>
    <cellStyle name="SAPBEXHLevel0 16 2" xfId="12756" xr:uid="{00000000-0005-0000-0000-000087320000}"/>
    <cellStyle name="SAPBEXHLevel0 16 3" xfId="12757" xr:uid="{00000000-0005-0000-0000-000088320000}"/>
    <cellStyle name="SAPBEXHLevel0 16 4" xfId="12758" xr:uid="{00000000-0005-0000-0000-000089320000}"/>
    <cellStyle name="SAPBEXHLevel0 16 5" xfId="12759" xr:uid="{00000000-0005-0000-0000-00008A320000}"/>
    <cellStyle name="SAPBEXHLevel0 16 6" xfId="12760" xr:uid="{00000000-0005-0000-0000-00008B320000}"/>
    <cellStyle name="SAPBEXHLevel0 160" xfId="12761" xr:uid="{00000000-0005-0000-0000-00008C320000}"/>
    <cellStyle name="SAPBEXHLevel0 161" xfId="12762" xr:uid="{00000000-0005-0000-0000-00008D320000}"/>
    <cellStyle name="SAPBEXHLevel0 162" xfId="12763" xr:uid="{00000000-0005-0000-0000-00008E320000}"/>
    <cellStyle name="SAPBEXHLevel0 163" xfId="12764" xr:uid="{00000000-0005-0000-0000-00008F320000}"/>
    <cellStyle name="SAPBEXHLevel0 164" xfId="12765" xr:uid="{00000000-0005-0000-0000-000090320000}"/>
    <cellStyle name="SAPBEXHLevel0 165" xfId="12766" xr:uid="{00000000-0005-0000-0000-000091320000}"/>
    <cellStyle name="SAPBEXHLevel0 166" xfId="12767" xr:uid="{00000000-0005-0000-0000-000092320000}"/>
    <cellStyle name="SAPBEXHLevel0 167" xfId="12768" xr:uid="{00000000-0005-0000-0000-000093320000}"/>
    <cellStyle name="SAPBEXHLevel0 168" xfId="12769" xr:uid="{00000000-0005-0000-0000-000094320000}"/>
    <cellStyle name="SAPBEXHLevel0 169" xfId="12770" xr:uid="{00000000-0005-0000-0000-000095320000}"/>
    <cellStyle name="SAPBEXHLevel0 17" xfId="12771" xr:uid="{00000000-0005-0000-0000-000096320000}"/>
    <cellStyle name="SAPBEXHLevel0 17 2" xfId="12772" xr:uid="{00000000-0005-0000-0000-000097320000}"/>
    <cellStyle name="SAPBEXHLevel0 17 3" xfId="12773" xr:uid="{00000000-0005-0000-0000-000098320000}"/>
    <cellStyle name="SAPBEXHLevel0 17 4" xfId="12774" xr:uid="{00000000-0005-0000-0000-000099320000}"/>
    <cellStyle name="SAPBEXHLevel0 17 5" xfId="12775" xr:uid="{00000000-0005-0000-0000-00009A320000}"/>
    <cellStyle name="SAPBEXHLevel0 17 6" xfId="12776" xr:uid="{00000000-0005-0000-0000-00009B320000}"/>
    <cellStyle name="SAPBEXHLevel0 170" xfId="12777" xr:uid="{00000000-0005-0000-0000-00009C320000}"/>
    <cellStyle name="SAPBEXHLevel0 171" xfId="12778" xr:uid="{00000000-0005-0000-0000-00009D320000}"/>
    <cellStyle name="SAPBEXHLevel0 172" xfId="12779" xr:uid="{00000000-0005-0000-0000-00009E320000}"/>
    <cellStyle name="SAPBEXHLevel0 173" xfId="12780" xr:uid="{00000000-0005-0000-0000-00009F320000}"/>
    <cellStyle name="SAPBEXHLevel0 174" xfId="27815" xr:uid="{00000000-0005-0000-0000-0000A0320000}"/>
    <cellStyle name="SAPBEXHLevel0 175" xfId="27922" xr:uid="{00000000-0005-0000-0000-0000A1320000}"/>
    <cellStyle name="SAPBEXHLevel0 176" xfId="27982" xr:uid="{00000000-0005-0000-0000-0000A2320000}"/>
    <cellStyle name="SAPBEXHLevel0 177" xfId="28022" xr:uid="{00000000-0005-0000-0000-0000A3320000}"/>
    <cellStyle name="SAPBEXHLevel0 178" xfId="28155" xr:uid="{00000000-0005-0000-0000-0000A4320000}"/>
    <cellStyle name="SAPBEXHLevel0 18" xfId="12781" xr:uid="{00000000-0005-0000-0000-0000A5320000}"/>
    <cellStyle name="SAPBEXHLevel0 18 2" xfId="12782" xr:uid="{00000000-0005-0000-0000-0000A6320000}"/>
    <cellStyle name="SAPBEXHLevel0 18 3" xfId="12783" xr:uid="{00000000-0005-0000-0000-0000A7320000}"/>
    <cellStyle name="SAPBEXHLevel0 18 4" xfId="12784" xr:uid="{00000000-0005-0000-0000-0000A8320000}"/>
    <cellStyle name="SAPBEXHLevel0 18 5" xfId="12785" xr:uid="{00000000-0005-0000-0000-0000A9320000}"/>
    <cellStyle name="SAPBEXHLevel0 18 6" xfId="12786" xr:uid="{00000000-0005-0000-0000-0000AA320000}"/>
    <cellStyle name="SAPBEXHLevel0 19" xfId="12787" xr:uid="{00000000-0005-0000-0000-0000AB320000}"/>
    <cellStyle name="SAPBEXHLevel0 19 2" xfId="12788" xr:uid="{00000000-0005-0000-0000-0000AC320000}"/>
    <cellStyle name="SAPBEXHLevel0 19 3" xfId="12789" xr:uid="{00000000-0005-0000-0000-0000AD320000}"/>
    <cellStyle name="SAPBEXHLevel0 19 4" xfId="12790" xr:uid="{00000000-0005-0000-0000-0000AE320000}"/>
    <cellStyle name="SAPBEXHLevel0 19 5" xfId="12791" xr:uid="{00000000-0005-0000-0000-0000AF320000}"/>
    <cellStyle name="SAPBEXHLevel0 19 6" xfId="12792" xr:uid="{00000000-0005-0000-0000-0000B0320000}"/>
    <cellStyle name="SAPBEXHLevel0 2" xfId="12793" xr:uid="{00000000-0005-0000-0000-0000B1320000}"/>
    <cellStyle name="SAPBEXHLevel0 2 10" xfId="12794" xr:uid="{00000000-0005-0000-0000-0000B2320000}"/>
    <cellStyle name="SAPBEXHLevel0 2 10 2" xfId="12795" xr:uid="{00000000-0005-0000-0000-0000B3320000}"/>
    <cellStyle name="SAPBEXHLevel0 2 10 3" xfId="12796" xr:uid="{00000000-0005-0000-0000-0000B4320000}"/>
    <cellStyle name="SAPBEXHLevel0 2 10 4" xfId="12797" xr:uid="{00000000-0005-0000-0000-0000B5320000}"/>
    <cellStyle name="SAPBEXHLevel0 2 11" xfId="12798" xr:uid="{00000000-0005-0000-0000-0000B6320000}"/>
    <cellStyle name="SAPBEXHLevel0 2 11 2" xfId="12799" xr:uid="{00000000-0005-0000-0000-0000B7320000}"/>
    <cellStyle name="SAPBEXHLevel0 2 11 3" xfId="12800" xr:uid="{00000000-0005-0000-0000-0000B8320000}"/>
    <cellStyle name="SAPBEXHLevel0 2 11 4" xfId="12801" xr:uid="{00000000-0005-0000-0000-0000B9320000}"/>
    <cellStyle name="SAPBEXHLevel0 2 12" xfId="12802" xr:uid="{00000000-0005-0000-0000-0000BA320000}"/>
    <cellStyle name="SAPBEXHLevel0 2 12 2" xfId="12803" xr:uid="{00000000-0005-0000-0000-0000BB320000}"/>
    <cellStyle name="SAPBEXHLevel0 2 12 3" xfId="12804" xr:uid="{00000000-0005-0000-0000-0000BC320000}"/>
    <cellStyle name="SAPBEXHLevel0 2 12 4" xfId="12805" xr:uid="{00000000-0005-0000-0000-0000BD320000}"/>
    <cellStyle name="SAPBEXHLevel0 2 13" xfId="12806" xr:uid="{00000000-0005-0000-0000-0000BE320000}"/>
    <cellStyle name="SAPBEXHLevel0 2 13 2" xfId="12807" xr:uid="{00000000-0005-0000-0000-0000BF320000}"/>
    <cellStyle name="SAPBEXHLevel0 2 13 3" xfId="12808" xr:uid="{00000000-0005-0000-0000-0000C0320000}"/>
    <cellStyle name="SAPBEXHLevel0 2 13 4" xfId="12809" xr:uid="{00000000-0005-0000-0000-0000C1320000}"/>
    <cellStyle name="SAPBEXHLevel0 2 14" xfId="12810" xr:uid="{00000000-0005-0000-0000-0000C2320000}"/>
    <cellStyle name="SAPBEXHLevel0 2 15" xfId="12811" xr:uid="{00000000-0005-0000-0000-0000C3320000}"/>
    <cellStyle name="SAPBEXHLevel0 2 16" xfId="12812" xr:uid="{00000000-0005-0000-0000-0000C4320000}"/>
    <cellStyle name="SAPBEXHLevel0 2 17" xfId="12813" xr:uid="{00000000-0005-0000-0000-0000C5320000}"/>
    <cellStyle name="SAPBEXHLevel0 2 18" xfId="12814" xr:uid="{00000000-0005-0000-0000-0000C6320000}"/>
    <cellStyle name="SAPBEXHLevel0 2 2" xfId="12815" xr:uid="{00000000-0005-0000-0000-0000C7320000}"/>
    <cellStyle name="SAPBEXHLevel0 2 2 2" xfId="12816" xr:uid="{00000000-0005-0000-0000-0000C8320000}"/>
    <cellStyle name="SAPBEXHLevel0 2 2 2 2" xfId="12817" xr:uid="{00000000-0005-0000-0000-0000C9320000}"/>
    <cellStyle name="SAPBEXHLevel0 2 2 2 3" xfId="12818" xr:uid="{00000000-0005-0000-0000-0000CA320000}"/>
    <cellStyle name="SAPBEXHLevel0 2 2 2 4" xfId="12819" xr:uid="{00000000-0005-0000-0000-0000CB320000}"/>
    <cellStyle name="SAPBEXHLevel0 2 2 2 5" xfId="12820" xr:uid="{00000000-0005-0000-0000-0000CC320000}"/>
    <cellStyle name="SAPBEXHLevel0 2 2 2 6" xfId="12821" xr:uid="{00000000-0005-0000-0000-0000CD320000}"/>
    <cellStyle name="SAPBEXHLevel0 2 2 3" xfId="12822" xr:uid="{00000000-0005-0000-0000-0000CE320000}"/>
    <cellStyle name="SAPBEXHLevel0 2 2 3 2" xfId="12823" xr:uid="{00000000-0005-0000-0000-0000CF320000}"/>
    <cellStyle name="SAPBEXHLevel0 2 2 3 3" xfId="12824" xr:uid="{00000000-0005-0000-0000-0000D0320000}"/>
    <cellStyle name="SAPBEXHLevel0 2 2 3 4" xfId="12825" xr:uid="{00000000-0005-0000-0000-0000D1320000}"/>
    <cellStyle name="SAPBEXHLevel0 2 2 3 5" xfId="12826" xr:uid="{00000000-0005-0000-0000-0000D2320000}"/>
    <cellStyle name="SAPBEXHLevel0 2 2 3 6" xfId="12827" xr:uid="{00000000-0005-0000-0000-0000D3320000}"/>
    <cellStyle name="SAPBEXHLevel0 2 2 4" xfId="12828" xr:uid="{00000000-0005-0000-0000-0000D4320000}"/>
    <cellStyle name="SAPBEXHLevel0 2 2 4 2" xfId="12829" xr:uid="{00000000-0005-0000-0000-0000D5320000}"/>
    <cellStyle name="SAPBEXHLevel0 2 2 4 3" xfId="12830" xr:uid="{00000000-0005-0000-0000-0000D6320000}"/>
    <cellStyle name="SAPBEXHLevel0 2 2 4 4" xfId="12831" xr:uid="{00000000-0005-0000-0000-0000D7320000}"/>
    <cellStyle name="SAPBEXHLevel0 2 2 4 5" xfId="12832" xr:uid="{00000000-0005-0000-0000-0000D8320000}"/>
    <cellStyle name="SAPBEXHLevel0 2 2 4 6" xfId="12833" xr:uid="{00000000-0005-0000-0000-0000D9320000}"/>
    <cellStyle name="SAPBEXHLevel0 2 2 5" xfId="12834" xr:uid="{00000000-0005-0000-0000-0000DA320000}"/>
    <cellStyle name="SAPBEXHLevel0 2 2 5 2" xfId="12835" xr:uid="{00000000-0005-0000-0000-0000DB320000}"/>
    <cellStyle name="SAPBEXHLevel0 2 2 5 3" xfId="12836" xr:uid="{00000000-0005-0000-0000-0000DC320000}"/>
    <cellStyle name="SAPBEXHLevel0 2 2 5 4" xfId="12837" xr:uid="{00000000-0005-0000-0000-0000DD320000}"/>
    <cellStyle name="SAPBEXHLevel0 2 2 5 5" xfId="12838" xr:uid="{00000000-0005-0000-0000-0000DE320000}"/>
    <cellStyle name="SAPBEXHLevel0 2 2 5 6" xfId="12839" xr:uid="{00000000-0005-0000-0000-0000DF320000}"/>
    <cellStyle name="SAPBEXHLevel0 2 2 6" xfId="12840" xr:uid="{00000000-0005-0000-0000-0000E0320000}"/>
    <cellStyle name="SAPBEXHLevel0 2 2 7" xfId="12841" xr:uid="{00000000-0005-0000-0000-0000E1320000}"/>
    <cellStyle name="SAPBEXHLevel0 2 2 8" xfId="12842" xr:uid="{00000000-0005-0000-0000-0000E2320000}"/>
    <cellStyle name="SAPBEXHLevel0 2 3" xfId="12843" xr:uid="{00000000-0005-0000-0000-0000E3320000}"/>
    <cellStyle name="SAPBEXHLevel0 2 3 2" xfId="12844" xr:uid="{00000000-0005-0000-0000-0000E4320000}"/>
    <cellStyle name="SAPBEXHLevel0 2 3 2 2" xfId="12845" xr:uid="{00000000-0005-0000-0000-0000E5320000}"/>
    <cellStyle name="SAPBEXHLevel0 2 3 2 3" xfId="12846" xr:uid="{00000000-0005-0000-0000-0000E6320000}"/>
    <cellStyle name="SAPBEXHLevel0 2 3 2 4" xfId="12847" xr:uid="{00000000-0005-0000-0000-0000E7320000}"/>
    <cellStyle name="SAPBEXHLevel0 2 3 2 5" xfId="12848" xr:uid="{00000000-0005-0000-0000-0000E8320000}"/>
    <cellStyle name="SAPBEXHLevel0 2 3 2 6" xfId="12849" xr:uid="{00000000-0005-0000-0000-0000E9320000}"/>
    <cellStyle name="SAPBEXHLevel0 2 3 3" xfId="12850" xr:uid="{00000000-0005-0000-0000-0000EA320000}"/>
    <cellStyle name="SAPBEXHLevel0 2 3 3 2" xfId="12851" xr:uid="{00000000-0005-0000-0000-0000EB320000}"/>
    <cellStyle name="SAPBEXHLevel0 2 3 3 3" xfId="12852" xr:uid="{00000000-0005-0000-0000-0000EC320000}"/>
    <cellStyle name="SAPBEXHLevel0 2 3 3 4" xfId="12853" xr:uid="{00000000-0005-0000-0000-0000ED320000}"/>
    <cellStyle name="SAPBEXHLevel0 2 3 3 5" xfId="12854" xr:uid="{00000000-0005-0000-0000-0000EE320000}"/>
    <cellStyle name="SAPBEXHLevel0 2 3 3 6" xfId="12855" xr:uid="{00000000-0005-0000-0000-0000EF320000}"/>
    <cellStyle name="SAPBEXHLevel0 2 3 4" xfId="12856" xr:uid="{00000000-0005-0000-0000-0000F0320000}"/>
    <cellStyle name="SAPBEXHLevel0 2 3 4 2" xfId="12857" xr:uid="{00000000-0005-0000-0000-0000F1320000}"/>
    <cellStyle name="SAPBEXHLevel0 2 3 4 3" xfId="12858" xr:uid="{00000000-0005-0000-0000-0000F2320000}"/>
    <cellStyle name="SAPBEXHLevel0 2 3 4 4" xfId="12859" xr:uid="{00000000-0005-0000-0000-0000F3320000}"/>
    <cellStyle name="SAPBEXHLevel0 2 3 4 5" xfId="12860" xr:uid="{00000000-0005-0000-0000-0000F4320000}"/>
    <cellStyle name="SAPBEXHLevel0 2 3 4 6" xfId="12861" xr:uid="{00000000-0005-0000-0000-0000F5320000}"/>
    <cellStyle name="SAPBEXHLevel0 2 3 5" xfId="12862" xr:uid="{00000000-0005-0000-0000-0000F6320000}"/>
    <cellStyle name="SAPBEXHLevel0 2 3 5 2" xfId="12863" xr:uid="{00000000-0005-0000-0000-0000F7320000}"/>
    <cellStyle name="SAPBEXHLevel0 2 3 5 3" xfId="12864" xr:uid="{00000000-0005-0000-0000-0000F8320000}"/>
    <cellStyle name="SAPBEXHLevel0 2 3 5 4" xfId="12865" xr:uid="{00000000-0005-0000-0000-0000F9320000}"/>
    <cellStyle name="SAPBEXHLevel0 2 3 5 5" xfId="12866" xr:uid="{00000000-0005-0000-0000-0000FA320000}"/>
    <cellStyle name="SAPBEXHLevel0 2 3 5 6" xfId="12867" xr:uid="{00000000-0005-0000-0000-0000FB320000}"/>
    <cellStyle name="SAPBEXHLevel0 2 3 6" xfId="12868" xr:uid="{00000000-0005-0000-0000-0000FC320000}"/>
    <cellStyle name="SAPBEXHLevel0 2 3 7" xfId="12869" xr:uid="{00000000-0005-0000-0000-0000FD320000}"/>
    <cellStyle name="SAPBEXHLevel0 2 3 8" xfId="12870" xr:uid="{00000000-0005-0000-0000-0000FE320000}"/>
    <cellStyle name="SAPBEXHLevel0 2 4" xfId="12871" xr:uid="{00000000-0005-0000-0000-0000FF320000}"/>
    <cellStyle name="SAPBEXHLevel0 2 4 2" xfId="12872" xr:uid="{00000000-0005-0000-0000-000000330000}"/>
    <cellStyle name="SAPBEXHLevel0 2 4 2 2" xfId="12873" xr:uid="{00000000-0005-0000-0000-000001330000}"/>
    <cellStyle name="SAPBEXHLevel0 2 4 2 3" xfId="12874" xr:uid="{00000000-0005-0000-0000-000002330000}"/>
    <cellStyle name="SAPBEXHLevel0 2 4 2 4" xfId="12875" xr:uid="{00000000-0005-0000-0000-000003330000}"/>
    <cellStyle name="SAPBEXHLevel0 2 4 2 5" xfId="12876" xr:uid="{00000000-0005-0000-0000-000004330000}"/>
    <cellStyle name="SAPBEXHLevel0 2 4 2 6" xfId="12877" xr:uid="{00000000-0005-0000-0000-000005330000}"/>
    <cellStyle name="SAPBEXHLevel0 2 4 3" xfId="12878" xr:uid="{00000000-0005-0000-0000-000006330000}"/>
    <cellStyle name="SAPBEXHLevel0 2 4 3 2" xfId="12879" xr:uid="{00000000-0005-0000-0000-000007330000}"/>
    <cellStyle name="SAPBEXHLevel0 2 4 3 3" xfId="12880" xr:uid="{00000000-0005-0000-0000-000008330000}"/>
    <cellStyle name="SAPBEXHLevel0 2 4 3 4" xfId="12881" xr:uid="{00000000-0005-0000-0000-000009330000}"/>
    <cellStyle name="SAPBEXHLevel0 2 4 3 5" xfId="12882" xr:uid="{00000000-0005-0000-0000-00000A330000}"/>
    <cellStyle name="SAPBEXHLevel0 2 4 3 6" xfId="12883" xr:uid="{00000000-0005-0000-0000-00000B330000}"/>
    <cellStyle name="SAPBEXHLevel0 2 4 4" xfId="12884" xr:uid="{00000000-0005-0000-0000-00000C330000}"/>
    <cellStyle name="SAPBEXHLevel0 2 4 4 2" xfId="12885" xr:uid="{00000000-0005-0000-0000-00000D330000}"/>
    <cellStyle name="SAPBEXHLevel0 2 4 4 3" xfId="12886" xr:uid="{00000000-0005-0000-0000-00000E330000}"/>
    <cellStyle name="SAPBEXHLevel0 2 4 4 4" xfId="12887" xr:uid="{00000000-0005-0000-0000-00000F330000}"/>
    <cellStyle name="SAPBEXHLevel0 2 4 4 5" xfId="12888" xr:uid="{00000000-0005-0000-0000-000010330000}"/>
    <cellStyle name="SAPBEXHLevel0 2 4 4 6" xfId="12889" xr:uid="{00000000-0005-0000-0000-000011330000}"/>
    <cellStyle name="SAPBEXHLevel0 2 4 5" xfId="12890" xr:uid="{00000000-0005-0000-0000-000012330000}"/>
    <cellStyle name="SAPBEXHLevel0 2 4 5 2" xfId="12891" xr:uid="{00000000-0005-0000-0000-000013330000}"/>
    <cellStyle name="SAPBEXHLevel0 2 4 5 3" xfId="12892" xr:uid="{00000000-0005-0000-0000-000014330000}"/>
    <cellStyle name="SAPBEXHLevel0 2 4 5 4" xfId="12893" xr:uid="{00000000-0005-0000-0000-000015330000}"/>
    <cellStyle name="SAPBEXHLevel0 2 4 5 5" xfId="12894" xr:uid="{00000000-0005-0000-0000-000016330000}"/>
    <cellStyle name="SAPBEXHLevel0 2 4 5 6" xfId="12895" xr:uid="{00000000-0005-0000-0000-000017330000}"/>
    <cellStyle name="SAPBEXHLevel0 2 4 6" xfId="12896" xr:uid="{00000000-0005-0000-0000-000018330000}"/>
    <cellStyle name="SAPBEXHLevel0 2 4 7" xfId="12897" xr:uid="{00000000-0005-0000-0000-000019330000}"/>
    <cellStyle name="SAPBEXHLevel0 2 4 8" xfId="12898" xr:uid="{00000000-0005-0000-0000-00001A330000}"/>
    <cellStyle name="SAPBEXHLevel0 2 5" xfId="12899" xr:uid="{00000000-0005-0000-0000-00001B330000}"/>
    <cellStyle name="SAPBEXHLevel0 2 5 2" xfId="12900" xr:uid="{00000000-0005-0000-0000-00001C330000}"/>
    <cellStyle name="SAPBEXHLevel0 2 5 3" xfId="12901" xr:uid="{00000000-0005-0000-0000-00001D330000}"/>
    <cellStyle name="SAPBEXHLevel0 2 5 4" xfId="12902" xr:uid="{00000000-0005-0000-0000-00001E330000}"/>
    <cellStyle name="SAPBEXHLevel0 2 6" xfId="12903" xr:uid="{00000000-0005-0000-0000-00001F330000}"/>
    <cellStyle name="SAPBEXHLevel0 2 6 2" xfId="12904" xr:uid="{00000000-0005-0000-0000-000020330000}"/>
    <cellStyle name="SAPBEXHLevel0 2 6 3" xfId="12905" xr:uid="{00000000-0005-0000-0000-000021330000}"/>
    <cellStyle name="SAPBEXHLevel0 2 6 4" xfId="12906" xr:uid="{00000000-0005-0000-0000-000022330000}"/>
    <cellStyle name="SAPBEXHLevel0 2 7" xfId="12907" xr:uid="{00000000-0005-0000-0000-000023330000}"/>
    <cellStyle name="SAPBEXHLevel0 2 7 2" xfId="12908" xr:uid="{00000000-0005-0000-0000-000024330000}"/>
    <cellStyle name="SAPBEXHLevel0 2 7 3" xfId="12909" xr:uid="{00000000-0005-0000-0000-000025330000}"/>
    <cellStyle name="SAPBEXHLevel0 2 7 4" xfId="12910" xr:uid="{00000000-0005-0000-0000-000026330000}"/>
    <cellStyle name="SAPBEXHLevel0 2 8" xfId="12911" xr:uid="{00000000-0005-0000-0000-000027330000}"/>
    <cellStyle name="SAPBEXHLevel0 2 8 2" xfId="12912" xr:uid="{00000000-0005-0000-0000-000028330000}"/>
    <cellStyle name="SAPBEXHLevel0 2 8 3" xfId="12913" xr:uid="{00000000-0005-0000-0000-000029330000}"/>
    <cellStyle name="SAPBEXHLevel0 2 8 4" xfId="12914" xr:uid="{00000000-0005-0000-0000-00002A330000}"/>
    <cellStyle name="SAPBEXHLevel0 2 9" xfId="12915" xr:uid="{00000000-0005-0000-0000-00002B330000}"/>
    <cellStyle name="SAPBEXHLevel0 2 9 2" xfId="12916" xr:uid="{00000000-0005-0000-0000-00002C330000}"/>
    <cellStyle name="SAPBEXHLevel0 2 9 3" xfId="12917" xr:uid="{00000000-0005-0000-0000-00002D330000}"/>
    <cellStyle name="SAPBEXHLevel0 2 9 4" xfId="12918" xr:uid="{00000000-0005-0000-0000-00002E330000}"/>
    <cellStyle name="SAPBEXHLevel0 2_2009 12 09 Cash flow (2009)" xfId="12919" xr:uid="{00000000-0005-0000-0000-00002F330000}"/>
    <cellStyle name="SAPBEXHLevel0 20" xfId="12920" xr:uid="{00000000-0005-0000-0000-000030330000}"/>
    <cellStyle name="SAPBEXHLevel0 20 2" xfId="12921" xr:uid="{00000000-0005-0000-0000-000031330000}"/>
    <cellStyle name="SAPBEXHLevel0 20 3" xfId="12922" xr:uid="{00000000-0005-0000-0000-000032330000}"/>
    <cellStyle name="SAPBEXHLevel0 20 4" xfId="12923" xr:uid="{00000000-0005-0000-0000-000033330000}"/>
    <cellStyle name="SAPBEXHLevel0 20 5" xfId="12924" xr:uid="{00000000-0005-0000-0000-000034330000}"/>
    <cellStyle name="SAPBEXHLevel0 20 6" xfId="12925" xr:uid="{00000000-0005-0000-0000-000035330000}"/>
    <cellStyle name="SAPBEXHLevel0 21" xfId="12926" xr:uid="{00000000-0005-0000-0000-000036330000}"/>
    <cellStyle name="SAPBEXHLevel0 21 2" xfId="12927" xr:uid="{00000000-0005-0000-0000-000037330000}"/>
    <cellStyle name="SAPBEXHLevel0 21 3" xfId="12928" xr:uid="{00000000-0005-0000-0000-000038330000}"/>
    <cellStyle name="SAPBEXHLevel0 21 4" xfId="12929" xr:uid="{00000000-0005-0000-0000-000039330000}"/>
    <cellStyle name="SAPBEXHLevel0 21 5" xfId="12930" xr:uid="{00000000-0005-0000-0000-00003A330000}"/>
    <cellStyle name="SAPBEXHLevel0 21 6" xfId="12931" xr:uid="{00000000-0005-0000-0000-00003B330000}"/>
    <cellStyle name="SAPBEXHLevel0 22" xfId="12932" xr:uid="{00000000-0005-0000-0000-00003C330000}"/>
    <cellStyle name="SAPBEXHLevel0 22 2" xfId="12933" xr:uid="{00000000-0005-0000-0000-00003D330000}"/>
    <cellStyle name="SAPBEXHLevel0 22 3" xfId="12934" xr:uid="{00000000-0005-0000-0000-00003E330000}"/>
    <cellStyle name="SAPBEXHLevel0 22 4" xfId="12935" xr:uid="{00000000-0005-0000-0000-00003F330000}"/>
    <cellStyle name="SAPBEXHLevel0 22 5" xfId="12936" xr:uid="{00000000-0005-0000-0000-000040330000}"/>
    <cellStyle name="SAPBEXHLevel0 22 6" xfId="12937" xr:uid="{00000000-0005-0000-0000-000041330000}"/>
    <cellStyle name="SAPBEXHLevel0 23" xfId="12938" xr:uid="{00000000-0005-0000-0000-000042330000}"/>
    <cellStyle name="SAPBEXHLevel0 23 2" xfId="12939" xr:uid="{00000000-0005-0000-0000-000043330000}"/>
    <cellStyle name="SAPBEXHLevel0 23 3" xfId="12940" xr:uid="{00000000-0005-0000-0000-000044330000}"/>
    <cellStyle name="SAPBEXHLevel0 23 4" xfId="12941" xr:uid="{00000000-0005-0000-0000-000045330000}"/>
    <cellStyle name="SAPBEXHLevel0 23 5" xfId="12942" xr:uid="{00000000-0005-0000-0000-000046330000}"/>
    <cellStyle name="SAPBEXHLevel0 23 6" xfId="12943" xr:uid="{00000000-0005-0000-0000-000047330000}"/>
    <cellStyle name="SAPBEXHLevel0 24" xfId="12944" xr:uid="{00000000-0005-0000-0000-000048330000}"/>
    <cellStyle name="SAPBEXHLevel0 24 2" xfId="12945" xr:uid="{00000000-0005-0000-0000-000049330000}"/>
    <cellStyle name="SAPBEXHLevel0 24 3" xfId="12946" xr:uid="{00000000-0005-0000-0000-00004A330000}"/>
    <cellStyle name="SAPBEXHLevel0 24 4" xfId="12947" xr:uid="{00000000-0005-0000-0000-00004B330000}"/>
    <cellStyle name="SAPBEXHLevel0 24 5" xfId="12948" xr:uid="{00000000-0005-0000-0000-00004C330000}"/>
    <cellStyle name="SAPBEXHLevel0 24 6" xfId="12949" xr:uid="{00000000-0005-0000-0000-00004D330000}"/>
    <cellStyle name="SAPBEXHLevel0 25" xfId="12950" xr:uid="{00000000-0005-0000-0000-00004E330000}"/>
    <cellStyle name="SAPBEXHLevel0 25 2" xfId="12951" xr:uid="{00000000-0005-0000-0000-00004F330000}"/>
    <cellStyle name="SAPBEXHLevel0 25 3" xfId="12952" xr:uid="{00000000-0005-0000-0000-000050330000}"/>
    <cellStyle name="SAPBEXHLevel0 25 4" xfId="12953" xr:uid="{00000000-0005-0000-0000-000051330000}"/>
    <cellStyle name="SAPBEXHLevel0 25 5" xfId="12954" xr:uid="{00000000-0005-0000-0000-000052330000}"/>
    <cellStyle name="SAPBEXHLevel0 25 6" xfId="12955" xr:uid="{00000000-0005-0000-0000-000053330000}"/>
    <cellStyle name="SAPBEXHLevel0 26" xfId="12956" xr:uid="{00000000-0005-0000-0000-000054330000}"/>
    <cellStyle name="SAPBEXHLevel0 26 2" xfId="12957" xr:uid="{00000000-0005-0000-0000-000055330000}"/>
    <cellStyle name="SAPBEXHLevel0 26 3" xfId="12958" xr:uid="{00000000-0005-0000-0000-000056330000}"/>
    <cellStyle name="SAPBEXHLevel0 26 4" xfId="12959" xr:uid="{00000000-0005-0000-0000-000057330000}"/>
    <cellStyle name="SAPBEXHLevel0 26 5" xfId="12960" xr:uid="{00000000-0005-0000-0000-000058330000}"/>
    <cellStyle name="SAPBEXHLevel0 26 6" xfId="12961" xr:uid="{00000000-0005-0000-0000-000059330000}"/>
    <cellStyle name="SAPBEXHLevel0 27" xfId="12962" xr:uid="{00000000-0005-0000-0000-00005A330000}"/>
    <cellStyle name="SAPBEXHLevel0 27 2" xfId="12963" xr:uid="{00000000-0005-0000-0000-00005B330000}"/>
    <cellStyle name="SAPBEXHLevel0 27 3" xfId="12964" xr:uid="{00000000-0005-0000-0000-00005C330000}"/>
    <cellStyle name="SAPBEXHLevel0 27 4" xfId="12965" xr:uid="{00000000-0005-0000-0000-00005D330000}"/>
    <cellStyle name="SAPBEXHLevel0 27 5" xfId="12966" xr:uid="{00000000-0005-0000-0000-00005E330000}"/>
    <cellStyle name="SAPBEXHLevel0 27 6" xfId="12967" xr:uid="{00000000-0005-0000-0000-00005F330000}"/>
    <cellStyle name="SAPBEXHLevel0 28" xfId="12968" xr:uid="{00000000-0005-0000-0000-000060330000}"/>
    <cellStyle name="SAPBEXHLevel0 28 2" xfId="12969" xr:uid="{00000000-0005-0000-0000-000061330000}"/>
    <cellStyle name="SAPBEXHLevel0 28 3" xfId="12970" xr:uid="{00000000-0005-0000-0000-000062330000}"/>
    <cellStyle name="SAPBEXHLevel0 28 4" xfId="12971" xr:uid="{00000000-0005-0000-0000-000063330000}"/>
    <cellStyle name="SAPBEXHLevel0 28 5" xfId="12972" xr:uid="{00000000-0005-0000-0000-000064330000}"/>
    <cellStyle name="SAPBEXHLevel0 28 6" xfId="12973" xr:uid="{00000000-0005-0000-0000-000065330000}"/>
    <cellStyle name="SAPBEXHLevel0 29" xfId="12974" xr:uid="{00000000-0005-0000-0000-000066330000}"/>
    <cellStyle name="SAPBEXHLevel0 29 2" xfId="12975" xr:uid="{00000000-0005-0000-0000-000067330000}"/>
    <cellStyle name="SAPBEXHLevel0 29 3" xfId="12976" xr:uid="{00000000-0005-0000-0000-000068330000}"/>
    <cellStyle name="SAPBEXHLevel0 29 4" xfId="12977" xr:uid="{00000000-0005-0000-0000-000069330000}"/>
    <cellStyle name="SAPBEXHLevel0 29 5" xfId="12978" xr:uid="{00000000-0005-0000-0000-00006A330000}"/>
    <cellStyle name="SAPBEXHLevel0 29 6" xfId="12979" xr:uid="{00000000-0005-0000-0000-00006B330000}"/>
    <cellStyle name="SAPBEXHLevel0 3" xfId="12980" xr:uid="{00000000-0005-0000-0000-00006C330000}"/>
    <cellStyle name="SAPBEXHLevel0 3 10" xfId="12981" xr:uid="{00000000-0005-0000-0000-00006D330000}"/>
    <cellStyle name="SAPBEXHLevel0 3 11" xfId="12982" xr:uid="{00000000-0005-0000-0000-00006E330000}"/>
    <cellStyle name="SAPBEXHLevel0 3 12" xfId="12983" xr:uid="{00000000-0005-0000-0000-00006F330000}"/>
    <cellStyle name="SAPBEXHLevel0 3 2" xfId="12984" xr:uid="{00000000-0005-0000-0000-000070330000}"/>
    <cellStyle name="SAPBEXHLevel0 3 2 2" xfId="12985" xr:uid="{00000000-0005-0000-0000-000071330000}"/>
    <cellStyle name="SAPBEXHLevel0 3 2 2 2" xfId="12986" xr:uid="{00000000-0005-0000-0000-000072330000}"/>
    <cellStyle name="SAPBEXHLevel0 3 2 2 3" xfId="12987" xr:uid="{00000000-0005-0000-0000-000073330000}"/>
    <cellStyle name="SAPBEXHLevel0 3 2 2 4" xfId="12988" xr:uid="{00000000-0005-0000-0000-000074330000}"/>
    <cellStyle name="SAPBEXHLevel0 3 2 2 5" xfId="12989" xr:uid="{00000000-0005-0000-0000-000075330000}"/>
    <cellStyle name="SAPBEXHLevel0 3 2 2 6" xfId="12990" xr:uid="{00000000-0005-0000-0000-000076330000}"/>
    <cellStyle name="SAPBEXHLevel0 3 2 3" xfId="12991" xr:uid="{00000000-0005-0000-0000-000077330000}"/>
    <cellStyle name="SAPBEXHLevel0 3 2 3 2" xfId="12992" xr:uid="{00000000-0005-0000-0000-000078330000}"/>
    <cellStyle name="SAPBEXHLevel0 3 2 3 3" xfId="12993" xr:uid="{00000000-0005-0000-0000-000079330000}"/>
    <cellStyle name="SAPBEXHLevel0 3 2 3 4" xfId="12994" xr:uid="{00000000-0005-0000-0000-00007A330000}"/>
    <cellStyle name="SAPBEXHLevel0 3 2 3 5" xfId="12995" xr:uid="{00000000-0005-0000-0000-00007B330000}"/>
    <cellStyle name="SAPBEXHLevel0 3 2 3 6" xfId="12996" xr:uid="{00000000-0005-0000-0000-00007C330000}"/>
    <cellStyle name="SAPBEXHLevel0 3 2 4" xfId="12997" xr:uid="{00000000-0005-0000-0000-00007D330000}"/>
    <cellStyle name="SAPBEXHLevel0 3 2 4 2" xfId="12998" xr:uid="{00000000-0005-0000-0000-00007E330000}"/>
    <cellStyle name="SAPBEXHLevel0 3 2 4 3" xfId="12999" xr:uid="{00000000-0005-0000-0000-00007F330000}"/>
    <cellStyle name="SAPBEXHLevel0 3 2 4 4" xfId="13000" xr:uid="{00000000-0005-0000-0000-000080330000}"/>
    <cellStyle name="SAPBEXHLevel0 3 2 4 5" xfId="13001" xr:uid="{00000000-0005-0000-0000-000081330000}"/>
    <cellStyle name="SAPBEXHLevel0 3 2 4 6" xfId="13002" xr:uid="{00000000-0005-0000-0000-000082330000}"/>
    <cellStyle name="SAPBEXHLevel0 3 2 5" xfId="13003" xr:uid="{00000000-0005-0000-0000-000083330000}"/>
    <cellStyle name="SAPBEXHLevel0 3 2 5 2" xfId="13004" xr:uid="{00000000-0005-0000-0000-000084330000}"/>
    <cellStyle name="SAPBEXHLevel0 3 2 5 3" xfId="13005" xr:uid="{00000000-0005-0000-0000-000085330000}"/>
    <cellStyle name="SAPBEXHLevel0 3 2 5 4" xfId="13006" xr:uid="{00000000-0005-0000-0000-000086330000}"/>
    <cellStyle name="SAPBEXHLevel0 3 2 5 5" xfId="13007" xr:uid="{00000000-0005-0000-0000-000087330000}"/>
    <cellStyle name="SAPBEXHLevel0 3 2 5 6" xfId="13008" xr:uid="{00000000-0005-0000-0000-000088330000}"/>
    <cellStyle name="SAPBEXHLevel0 3 2 6" xfId="13009" xr:uid="{00000000-0005-0000-0000-000089330000}"/>
    <cellStyle name="SAPBEXHLevel0 3 2 7" xfId="13010" xr:uid="{00000000-0005-0000-0000-00008A330000}"/>
    <cellStyle name="SAPBEXHLevel0 3 2 8" xfId="13011" xr:uid="{00000000-0005-0000-0000-00008B330000}"/>
    <cellStyle name="SAPBEXHLevel0 3 3" xfId="13012" xr:uid="{00000000-0005-0000-0000-00008C330000}"/>
    <cellStyle name="SAPBEXHLevel0 3 3 2" xfId="13013" xr:uid="{00000000-0005-0000-0000-00008D330000}"/>
    <cellStyle name="SAPBEXHLevel0 3 3 3" xfId="13014" xr:uid="{00000000-0005-0000-0000-00008E330000}"/>
    <cellStyle name="SAPBEXHLevel0 3 3 4" xfId="13015" xr:uid="{00000000-0005-0000-0000-00008F330000}"/>
    <cellStyle name="SAPBEXHLevel0 3 3 5" xfId="13016" xr:uid="{00000000-0005-0000-0000-000090330000}"/>
    <cellStyle name="SAPBEXHLevel0 3 3 6" xfId="13017" xr:uid="{00000000-0005-0000-0000-000091330000}"/>
    <cellStyle name="SAPBEXHLevel0 3 4" xfId="13018" xr:uid="{00000000-0005-0000-0000-000092330000}"/>
    <cellStyle name="SAPBEXHLevel0 3 4 2" xfId="13019" xr:uid="{00000000-0005-0000-0000-000093330000}"/>
    <cellStyle name="SAPBEXHLevel0 3 4 3" xfId="13020" xr:uid="{00000000-0005-0000-0000-000094330000}"/>
    <cellStyle name="SAPBEXHLevel0 3 4 4" xfId="13021" xr:uid="{00000000-0005-0000-0000-000095330000}"/>
    <cellStyle name="SAPBEXHLevel0 3 4 5" xfId="13022" xr:uid="{00000000-0005-0000-0000-000096330000}"/>
    <cellStyle name="SAPBEXHLevel0 3 4 6" xfId="13023" xr:uid="{00000000-0005-0000-0000-000097330000}"/>
    <cellStyle name="SAPBEXHLevel0 3 5" xfId="13024" xr:uid="{00000000-0005-0000-0000-000098330000}"/>
    <cellStyle name="SAPBEXHLevel0 3 5 2" xfId="13025" xr:uid="{00000000-0005-0000-0000-000099330000}"/>
    <cellStyle name="SAPBEXHLevel0 3 5 3" xfId="13026" xr:uid="{00000000-0005-0000-0000-00009A330000}"/>
    <cellStyle name="SAPBEXHLevel0 3 5 4" xfId="13027" xr:uid="{00000000-0005-0000-0000-00009B330000}"/>
    <cellStyle name="SAPBEXHLevel0 3 6" xfId="13028" xr:uid="{00000000-0005-0000-0000-00009C330000}"/>
    <cellStyle name="SAPBEXHLevel0 3 6 2" xfId="13029" xr:uid="{00000000-0005-0000-0000-00009D330000}"/>
    <cellStyle name="SAPBEXHLevel0 3 6 3" xfId="13030" xr:uid="{00000000-0005-0000-0000-00009E330000}"/>
    <cellStyle name="SAPBEXHLevel0 3 6 4" xfId="13031" xr:uid="{00000000-0005-0000-0000-00009F330000}"/>
    <cellStyle name="SAPBEXHLevel0 3 7" xfId="13032" xr:uid="{00000000-0005-0000-0000-0000A0330000}"/>
    <cellStyle name="SAPBEXHLevel0 3 7 2" xfId="13033" xr:uid="{00000000-0005-0000-0000-0000A1330000}"/>
    <cellStyle name="SAPBEXHLevel0 3 7 3" xfId="13034" xr:uid="{00000000-0005-0000-0000-0000A2330000}"/>
    <cellStyle name="SAPBEXHLevel0 3 7 4" xfId="13035" xr:uid="{00000000-0005-0000-0000-0000A3330000}"/>
    <cellStyle name="SAPBEXHLevel0 3 8" xfId="13036" xr:uid="{00000000-0005-0000-0000-0000A4330000}"/>
    <cellStyle name="SAPBEXHLevel0 3 9" xfId="13037" xr:uid="{00000000-0005-0000-0000-0000A5330000}"/>
    <cellStyle name="SAPBEXHLevel0 30" xfId="13038" xr:uid="{00000000-0005-0000-0000-0000A6330000}"/>
    <cellStyle name="SAPBEXHLevel0 30 2" xfId="13039" xr:uid="{00000000-0005-0000-0000-0000A7330000}"/>
    <cellStyle name="SAPBEXHLevel0 30 3" xfId="13040" xr:uid="{00000000-0005-0000-0000-0000A8330000}"/>
    <cellStyle name="SAPBEXHLevel0 30 4" xfId="13041" xr:uid="{00000000-0005-0000-0000-0000A9330000}"/>
    <cellStyle name="SAPBEXHLevel0 30 5" xfId="13042" xr:uid="{00000000-0005-0000-0000-0000AA330000}"/>
    <cellStyle name="SAPBEXHLevel0 30 6" xfId="13043" xr:uid="{00000000-0005-0000-0000-0000AB330000}"/>
    <cellStyle name="SAPBEXHLevel0 31" xfId="13044" xr:uid="{00000000-0005-0000-0000-0000AC330000}"/>
    <cellStyle name="SAPBEXHLevel0 31 2" xfId="13045" xr:uid="{00000000-0005-0000-0000-0000AD330000}"/>
    <cellStyle name="SAPBEXHLevel0 31 3" xfId="13046" xr:uid="{00000000-0005-0000-0000-0000AE330000}"/>
    <cellStyle name="SAPBEXHLevel0 31 4" xfId="13047" xr:uid="{00000000-0005-0000-0000-0000AF330000}"/>
    <cellStyle name="SAPBEXHLevel0 31 5" xfId="13048" xr:uid="{00000000-0005-0000-0000-0000B0330000}"/>
    <cellStyle name="SAPBEXHLevel0 31 6" xfId="13049" xr:uid="{00000000-0005-0000-0000-0000B1330000}"/>
    <cellStyle name="SAPBEXHLevel0 32" xfId="13050" xr:uid="{00000000-0005-0000-0000-0000B2330000}"/>
    <cellStyle name="SAPBEXHLevel0 32 2" xfId="13051" xr:uid="{00000000-0005-0000-0000-0000B3330000}"/>
    <cellStyle name="SAPBEXHLevel0 32 3" xfId="13052" xr:uid="{00000000-0005-0000-0000-0000B4330000}"/>
    <cellStyle name="SAPBEXHLevel0 32 4" xfId="13053" xr:uid="{00000000-0005-0000-0000-0000B5330000}"/>
    <cellStyle name="SAPBEXHLevel0 32 5" xfId="13054" xr:uid="{00000000-0005-0000-0000-0000B6330000}"/>
    <cellStyle name="SAPBEXHLevel0 32 6" xfId="13055" xr:uid="{00000000-0005-0000-0000-0000B7330000}"/>
    <cellStyle name="SAPBEXHLevel0 33" xfId="13056" xr:uid="{00000000-0005-0000-0000-0000B8330000}"/>
    <cellStyle name="SAPBEXHLevel0 34" xfId="13057" xr:uid="{00000000-0005-0000-0000-0000B9330000}"/>
    <cellStyle name="SAPBEXHLevel0 35" xfId="13058" xr:uid="{00000000-0005-0000-0000-0000BA330000}"/>
    <cellStyle name="SAPBEXHLevel0 36" xfId="13059" xr:uid="{00000000-0005-0000-0000-0000BB330000}"/>
    <cellStyle name="SAPBEXHLevel0 37" xfId="13060" xr:uid="{00000000-0005-0000-0000-0000BC330000}"/>
    <cellStyle name="SAPBEXHLevel0 38" xfId="13061" xr:uid="{00000000-0005-0000-0000-0000BD330000}"/>
    <cellStyle name="SAPBEXHLevel0 39" xfId="13062" xr:uid="{00000000-0005-0000-0000-0000BE330000}"/>
    <cellStyle name="SAPBEXHLevel0 4" xfId="13063" xr:uid="{00000000-0005-0000-0000-0000BF330000}"/>
    <cellStyle name="SAPBEXHLevel0 4 2" xfId="13064" xr:uid="{00000000-0005-0000-0000-0000C0330000}"/>
    <cellStyle name="SAPBEXHLevel0 4 3" xfId="13065" xr:uid="{00000000-0005-0000-0000-0000C1330000}"/>
    <cellStyle name="SAPBEXHLevel0 4 4" xfId="13066" xr:uid="{00000000-0005-0000-0000-0000C2330000}"/>
    <cellStyle name="SAPBEXHLevel0 4 5" xfId="13067" xr:uid="{00000000-0005-0000-0000-0000C3330000}"/>
    <cellStyle name="SAPBEXHLevel0 4 6" xfId="13068" xr:uid="{00000000-0005-0000-0000-0000C4330000}"/>
    <cellStyle name="SAPBEXHLevel0 40" xfId="13069" xr:uid="{00000000-0005-0000-0000-0000C5330000}"/>
    <cellStyle name="SAPBEXHLevel0 41" xfId="13070" xr:uid="{00000000-0005-0000-0000-0000C6330000}"/>
    <cellStyle name="SAPBEXHLevel0 42" xfId="13071" xr:uid="{00000000-0005-0000-0000-0000C7330000}"/>
    <cellStyle name="SAPBEXHLevel0 43" xfId="13072" xr:uid="{00000000-0005-0000-0000-0000C8330000}"/>
    <cellStyle name="SAPBEXHLevel0 44" xfId="13073" xr:uid="{00000000-0005-0000-0000-0000C9330000}"/>
    <cellStyle name="SAPBEXHLevel0 45" xfId="13074" xr:uid="{00000000-0005-0000-0000-0000CA330000}"/>
    <cellStyle name="SAPBEXHLevel0 46" xfId="13075" xr:uid="{00000000-0005-0000-0000-0000CB330000}"/>
    <cellStyle name="SAPBEXHLevel0 47" xfId="13076" xr:uid="{00000000-0005-0000-0000-0000CC330000}"/>
    <cellStyle name="SAPBEXHLevel0 48" xfId="13077" xr:uid="{00000000-0005-0000-0000-0000CD330000}"/>
    <cellStyle name="SAPBEXHLevel0 49" xfId="13078" xr:uid="{00000000-0005-0000-0000-0000CE330000}"/>
    <cellStyle name="SAPBEXHLevel0 5" xfId="13079" xr:uid="{00000000-0005-0000-0000-0000CF330000}"/>
    <cellStyle name="SAPBEXHLevel0 5 2" xfId="13080" xr:uid="{00000000-0005-0000-0000-0000D0330000}"/>
    <cellStyle name="SAPBEXHLevel0 5 3" xfId="13081" xr:uid="{00000000-0005-0000-0000-0000D1330000}"/>
    <cellStyle name="SAPBEXHLevel0 5 4" xfId="13082" xr:uid="{00000000-0005-0000-0000-0000D2330000}"/>
    <cellStyle name="SAPBEXHLevel0 5 5" xfId="13083" xr:uid="{00000000-0005-0000-0000-0000D3330000}"/>
    <cellStyle name="SAPBEXHLevel0 5 6" xfId="13084" xr:uid="{00000000-0005-0000-0000-0000D4330000}"/>
    <cellStyle name="SAPBEXHLevel0 50" xfId="13085" xr:uid="{00000000-0005-0000-0000-0000D5330000}"/>
    <cellStyle name="SAPBEXHLevel0 51" xfId="13086" xr:uid="{00000000-0005-0000-0000-0000D6330000}"/>
    <cellStyle name="SAPBEXHLevel0 52" xfId="13087" xr:uid="{00000000-0005-0000-0000-0000D7330000}"/>
    <cellStyle name="SAPBEXHLevel0 53" xfId="13088" xr:uid="{00000000-0005-0000-0000-0000D8330000}"/>
    <cellStyle name="SAPBEXHLevel0 54" xfId="13089" xr:uid="{00000000-0005-0000-0000-0000D9330000}"/>
    <cellStyle name="SAPBEXHLevel0 55" xfId="13090" xr:uid="{00000000-0005-0000-0000-0000DA330000}"/>
    <cellStyle name="SAPBEXHLevel0 56" xfId="13091" xr:uid="{00000000-0005-0000-0000-0000DB330000}"/>
    <cellStyle name="SAPBEXHLevel0 57" xfId="13092" xr:uid="{00000000-0005-0000-0000-0000DC330000}"/>
    <cellStyle name="SAPBEXHLevel0 58" xfId="13093" xr:uid="{00000000-0005-0000-0000-0000DD330000}"/>
    <cellStyle name="SAPBEXHLevel0 59" xfId="13094" xr:uid="{00000000-0005-0000-0000-0000DE330000}"/>
    <cellStyle name="SAPBEXHLevel0 6" xfId="13095" xr:uid="{00000000-0005-0000-0000-0000DF330000}"/>
    <cellStyle name="SAPBEXHLevel0 6 10" xfId="13096" xr:uid="{00000000-0005-0000-0000-0000E0330000}"/>
    <cellStyle name="SAPBEXHLevel0 6 2" xfId="13097" xr:uid="{00000000-0005-0000-0000-0000E1330000}"/>
    <cellStyle name="SAPBEXHLevel0 6 2 2" xfId="13098" xr:uid="{00000000-0005-0000-0000-0000E2330000}"/>
    <cellStyle name="SAPBEXHLevel0 6 2 3" xfId="13099" xr:uid="{00000000-0005-0000-0000-0000E3330000}"/>
    <cellStyle name="SAPBEXHLevel0 6 2 4" xfId="13100" xr:uid="{00000000-0005-0000-0000-0000E4330000}"/>
    <cellStyle name="SAPBEXHLevel0 6 3" xfId="13101" xr:uid="{00000000-0005-0000-0000-0000E5330000}"/>
    <cellStyle name="SAPBEXHLevel0 6 3 2" xfId="13102" xr:uid="{00000000-0005-0000-0000-0000E6330000}"/>
    <cellStyle name="SAPBEXHLevel0 6 3 3" xfId="13103" xr:uid="{00000000-0005-0000-0000-0000E7330000}"/>
    <cellStyle name="SAPBEXHLevel0 6 3 4" xfId="13104" xr:uid="{00000000-0005-0000-0000-0000E8330000}"/>
    <cellStyle name="SAPBEXHLevel0 6 4" xfId="13105" xr:uid="{00000000-0005-0000-0000-0000E9330000}"/>
    <cellStyle name="SAPBEXHLevel0 6 4 2" xfId="13106" xr:uid="{00000000-0005-0000-0000-0000EA330000}"/>
    <cellStyle name="SAPBEXHLevel0 6 4 3" xfId="13107" xr:uid="{00000000-0005-0000-0000-0000EB330000}"/>
    <cellStyle name="SAPBEXHLevel0 6 4 4" xfId="13108" xr:uid="{00000000-0005-0000-0000-0000EC330000}"/>
    <cellStyle name="SAPBEXHLevel0 6 5" xfId="13109" xr:uid="{00000000-0005-0000-0000-0000ED330000}"/>
    <cellStyle name="SAPBEXHLevel0 6 5 2" xfId="13110" xr:uid="{00000000-0005-0000-0000-0000EE330000}"/>
    <cellStyle name="SAPBEXHLevel0 6 5 3" xfId="13111" xr:uid="{00000000-0005-0000-0000-0000EF330000}"/>
    <cellStyle name="SAPBEXHLevel0 6 5 4" xfId="13112" xr:uid="{00000000-0005-0000-0000-0000F0330000}"/>
    <cellStyle name="SAPBEXHLevel0 6 6" xfId="13113" xr:uid="{00000000-0005-0000-0000-0000F1330000}"/>
    <cellStyle name="SAPBEXHLevel0 6 7" xfId="13114" xr:uid="{00000000-0005-0000-0000-0000F2330000}"/>
    <cellStyle name="SAPBEXHLevel0 6 8" xfId="13115" xr:uid="{00000000-0005-0000-0000-0000F3330000}"/>
    <cellStyle name="SAPBEXHLevel0 6 9" xfId="13116" xr:uid="{00000000-0005-0000-0000-0000F4330000}"/>
    <cellStyle name="SAPBEXHLevel0 60" xfId="13117" xr:uid="{00000000-0005-0000-0000-0000F5330000}"/>
    <cellStyle name="SAPBEXHLevel0 61" xfId="13118" xr:uid="{00000000-0005-0000-0000-0000F6330000}"/>
    <cellStyle name="SAPBEXHLevel0 62" xfId="13119" xr:uid="{00000000-0005-0000-0000-0000F7330000}"/>
    <cellStyle name="SAPBEXHLevel0 63" xfId="13120" xr:uid="{00000000-0005-0000-0000-0000F8330000}"/>
    <cellStyle name="SAPBEXHLevel0 64" xfId="13121" xr:uid="{00000000-0005-0000-0000-0000F9330000}"/>
    <cellStyle name="SAPBEXHLevel0 65" xfId="13122" xr:uid="{00000000-0005-0000-0000-0000FA330000}"/>
    <cellStyle name="SAPBEXHLevel0 66" xfId="13123" xr:uid="{00000000-0005-0000-0000-0000FB330000}"/>
    <cellStyle name="SAPBEXHLevel0 67" xfId="13124" xr:uid="{00000000-0005-0000-0000-0000FC330000}"/>
    <cellStyle name="SAPBEXHLevel0 68" xfId="13125" xr:uid="{00000000-0005-0000-0000-0000FD330000}"/>
    <cellStyle name="SAPBEXHLevel0 69" xfId="13126" xr:uid="{00000000-0005-0000-0000-0000FE330000}"/>
    <cellStyle name="SAPBEXHLevel0 7" xfId="13127" xr:uid="{00000000-0005-0000-0000-0000FF330000}"/>
    <cellStyle name="SAPBEXHLevel0 7 10" xfId="13128" xr:uid="{00000000-0005-0000-0000-000000340000}"/>
    <cellStyle name="SAPBEXHLevel0 7 2" xfId="13129" xr:uid="{00000000-0005-0000-0000-000001340000}"/>
    <cellStyle name="SAPBEXHLevel0 7 2 2" xfId="13130" xr:uid="{00000000-0005-0000-0000-000002340000}"/>
    <cellStyle name="SAPBEXHLevel0 7 2 3" xfId="13131" xr:uid="{00000000-0005-0000-0000-000003340000}"/>
    <cellStyle name="SAPBEXHLevel0 7 2 4" xfId="13132" xr:uid="{00000000-0005-0000-0000-000004340000}"/>
    <cellStyle name="SAPBEXHLevel0 7 3" xfId="13133" xr:uid="{00000000-0005-0000-0000-000005340000}"/>
    <cellStyle name="SAPBEXHLevel0 7 3 2" xfId="13134" xr:uid="{00000000-0005-0000-0000-000006340000}"/>
    <cellStyle name="SAPBEXHLevel0 7 3 3" xfId="13135" xr:uid="{00000000-0005-0000-0000-000007340000}"/>
    <cellStyle name="SAPBEXHLevel0 7 3 4" xfId="13136" xr:uid="{00000000-0005-0000-0000-000008340000}"/>
    <cellStyle name="SAPBEXHLevel0 7 4" xfId="13137" xr:uid="{00000000-0005-0000-0000-000009340000}"/>
    <cellStyle name="SAPBEXHLevel0 7 4 2" xfId="13138" xr:uid="{00000000-0005-0000-0000-00000A340000}"/>
    <cellStyle name="SAPBEXHLevel0 7 4 3" xfId="13139" xr:uid="{00000000-0005-0000-0000-00000B340000}"/>
    <cellStyle name="SAPBEXHLevel0 7 4 4" xfId="13140" xr:uid="{00000000-0005-0000-0000-00000C340000}"/>
    <cellStyle name="SAPBEXHLevel0 7 5" xfId="13141" xr:uid="{00000000-0005-0000-0000-00000D340000}"/>
    <cellStyle name="SAPBEXHLevel0 7 5 2" xfId="13142" xr:uid="{00000000-0005-0000-0000-00000E340000}"/>
    <cellStyle name="SAPBEXHLevel0 7 5 3" xfId="13143" xr:uid="{00000000-0005-0000-0000-00000F340000}"/>
    <cellStyle name="SAPBEXHLevel0 7 5 4" xfId="13144" xr:uid="{00000000-0005-0000-0000-000010340000}"/>
    <cellStyle name="SAPBEXHLevel0 7 6" xfId="13145" xr:uid="{00000000-0005-0000-0000-000011340000}"/>
    <cellStyle name="SAPBEXHLevel0 7 7" xfId="13146" xr:uid="{00000000-0005-0000-0000-000012340000}"/>
    <cellStyle name="SAPBEXHLevel0 7 8" xfId="13147" xr:uid="{00000000-0005-0000-0000-000013340000}"/>
    <cellStyle name="SAPBEXHLevel0 7 9" xfId="13148" xr:uid="{00000000-0005-0000-0000-000014340000}"/>
    <cellStyle name="SAPBEXHLevel0 70" xfId="13149" xr:uid="{00000000-0005-0000-0000-000015340000}"/>
    <cellStyle name="SAPBEXHLevel0 71" xfId="13150" xr:uid="{00000000-0005-0000-0000-000016340000}"/>
    <cellStyle name="SAPBEXHLevel0 72" xfId="13151" xr:uid="{00000000-0005-0000-0000-000017340000}"/>
    <cellStyle name="SAPBEXHLevel0 73" xfId="13152" xr:uid="{00000000-0005-0000-0000-000018340000}"/>
    <cellStyle name="SAPBEXHLevel0 74" xfId="13153" xr:uid="{00000000-0005-0000-0000-000019340000}"/>
    <cellStyle name="SAPBEXHLevel0 75" xfId="13154" xr:uid="{00000000-0005-0000-0000-00001A340000}"/>
    <cellStyle name="SAPBEXHLevel0 76" xfId="13155" xr:uid="{00000000-0005-0000-0000-00001B340000}"/>
    <cellStyle name="SAPBEXHLevel0 77" xfId="13156" xr:uid="{00000000-0005-0000-0000-00001C340000}"/>
    <cellStyle name="SAPBEXHLevel0 78" xfId="13157" xr:uid="{00000000-0005-0000-0000-00001D340000}"/>
    <cellStyle name="SAPBEXHLevel0 79" xfId="13158" xr:uid="{00000000-0005-0000-0000-00001E340000}"/>
    <cellStyle name="SAPBEXHLevel0 8" xfId="13159" xr:uid="{00000000-0005-0000-0000-00001F340000}"/>
    <cellStyle name="SAPBEXHLevel0 8 2" xfId="13160" xr:uid="{00000000-0005-0000-0000-000020340000}"/>
    <cellStyle name="SAPBEXHLevel0 8 3" xfId="13161" xr:uid="{00000000-0005-0000-0000-000021340000}"/>
    <cellStyle name="SAPBEXHLevel0 8 4" xfId="13162" xr:uid="{00000000-0005-0000-0000-000022340000}"/>
    <cellStyle name="SAPBEXHLevel0 8 5" xfId="13163" xr:uid="{00000000-0005-0000-0000-000023340000}"/>
    <cellStyle name="SAPBEXHLevel0 8 6" xfId="13164" xr:uid="{00000000-0005-0000-0000-000024340000}"/>
    <cellStyle name="SAPBEXHLevel0 80" xfId="13165" xr:uid="{00000000-0005-0000-0000-000025340000}"/>
    <cellStyle name="SAPBEXHLevel0 81" xfId="13166" xr:uid="{00000000-0005-0000-0000-000026340000}"/>
    <cellStyle name="SAPBEXHLevel0 82" xfId="13167" xr:uid="{00000000-0005-0000-0000-000027340000}"/>
    <cellStyle name="SAPBEXHLevel0 83" xfId="13168" xr:uid="{00000000-0005-0000-0000-000028340000}"/>
    <cellStyle name="SAPBEXHLevel0 84" xfId="13169" xr:uid="{00000000-0005-0000-0000-000029340000}"/>
    <cellStyle name="SAPBEXHLevel0 85" xfId="13170" xr:uid="{00000000-0005-0000-0000-00002A340000}"/>
    <cellStyle name="SAPBEXHLevel0 86" xfId="13171" xr:uid="{00000000-0005-0000-0000-00002B340000}"/>
    <cellStyle name="SAPBEXHLevel0 87" xfId="13172" xr:uid="{00000000-0005-0000-0000-00002C340000}"/>
    <cellStyle name="SAPBEXHLevel0 88" xfId="13173" xr:uid="{00000000-0005-0000-0000-00002D340000}"/>
    <cellStyle name="SAPBEXHLevel0 89" xfId="13174" xr:uid="{00000000-0005-0000-0000-00002E340000}"/>
    <cellStyle name="SAPBEXHLevel0 9" xfId="13175" xr:uid="{00000000-0005-0000-0000-00002F340000}"/>
    <cellStyle name="SAPBEXHLevel0 9 2" xfId="13176" xr:uid="{00000000-0005-0000-0000-000030340000}"/>
    <cellStyle name="SAPBEXHLevel0 9 3" xfId="13177" xr:uid="{00000000-0005-0000-0000-000031340000}"/>
    <cellStyle name="SAPBEXHLevel0 9 4" xfId="13178" xr:uid="{00000000-0005-0000-0000-000032340000}"/>
    <cellStyle name="SAPBEXHLevel0 9 5" xfId="13179" xr:uid="{00000000-0005-0000-0000-000033340000}"/>
    <cellStyle name="SAPBEXHLevel0 9 6" xfId="13180" xr:uid="{00000000-0005-0000-0000-000034340000}"/>
    <cellStyle name="SAPBEXHLevel0 90" xfId="13181" xr:uid="{00000000-0005-0000-0000-000035340000}"/>
    <cellStyle name="SAPBEXHLevel0 91" xfId="13182" xr:uid="{00000000-0005-0000-0000-000036340000}"/>
    <cellStyle name="SAPBEXHLevel0 92" xfId="13183" xr:uid="{00000000-0005-0000-0000-000037340000}"/>
    <cellStyle name="SAPBEXHLevel0 93" xfId="13184" xr:uid="{00000000-0005-0000-0000-000038340000}"/>
    <cellStyle name="SAPBEXHLevel0 94" xfId="13185" xr:uid="{00000000-0005-0000-0000-000039340000}"/>
    <cellStyle name="SAPBEXHLevel0 95" xfId="13186" xr:uid="{00000000-0005-0000-0000-00003A340000}"/>
    <cellStyle name="SAPBEXHLevel0 96" xfId="13187" xr:uid="{00000000-0005-0000-0000-00003B340000}"/>
    <cellStyle name="SAPBEXHLevel0 97" xfId="13188" xr:uid="{00000000-0005-0000-0000-00003C340000}"/>
    <cellStyle name="SAPBEXHLevel0 98" xfId="13189" xr:uid="{00000000-0005-0000-0000-00003D340000}"/>
    <cellStyle name="SAPBEXHLevel0 99" xfId="13190" xr:uid="{00000000-0005-0000-0000-00003E340000}"/>
    <cellStyle name="SAPBEXHLevel0_2009 05 22 Cash flow (2009) (20)" xfId="13191" xr:uid="{00000000-0005-0000-0000-00003F340000}"/>
    <cellStyle name="SAPBEXHLevel0X" xfId="13192" xr:uid="{00000000-0005-0000-0000-000040340000}"/>
    <cellStyle name="SAPBEXHLevel0X 10" xfId="13193" xr:uid="{00000000-0005-0000-0000-000041340000}"/>
    <cellStyle name="SAPBEXHLevel0X 10 2" xfId="13194" xr:uid="{00000000-0005-0000-0000-000042340000}"/>
    <cellStyle name="SAPBEXHLevel0X 10 3" xfId="13195" xr:uid="{00000000-0005-0000-0000-000043340000}"/>
    <cellStyle name="SAPBEXHLevel0X 10 4" xfId="13196" xr:uid="{00000000-0005-0000-0000-000044340000}"/>
    <cellStyle name="SAPBEXHLevel0X 10 5" xfId="13197" xr:uid="{00000000-0005-0000-0000-000045340000}"/>
    <cellStyle name="SAPBEXHLevel0X 10 6" xfId="13198" xr:uid="{00000000-0005-0000-0000-000046340000}"/>
    <cellStyle name="SAPBEXHLevel0X 100" xfId="13199" xr:uid="{00000000-0005-0000-0000-000047340000}"/>
    <cellStyle name="SAPBEXHLevel0X 101" xfId="13200" xr:uid="{00000000-0005-0000-0000-000048340000}"/>
    <cellStyle name="SAPBEXHLevel0X 102" xfId="13201" xr:uid="{00000000-0005-0000-0000-000049340000}"/>
    <cellStyle name="SAPBEXHLevel0X 103" xfId="13202" xr:uid="{00000000-0005-0000-0000-00004A340000}"/>
    <cellStyle name="SAPBEXHLevel0X 104" xfId="13203" xr:uid="{00000000-0005-0000-0000-00004B340000}"/>
    <cellStyle name="SAPBEXHLevel0X 105" xfId="13204" xr:uid="{00000000-0005-0000-0000-00004C340000}"/>
    <cellStyle name="SAPBEXHLevel0X 106" xfId="13205" xr:uid="{00000000-0005-0000-0000-00004D340000}"/>
    <cellStyle name="SAPBEXHLevel0X 107" xfId="13206" xr:uid="{00000000-0005-0000-0000-00004E340000}"/>
    <cellStyle name="SAPBEXHLevel0X 108" xfId="13207" xr:uid="{00000000-0005-0000-0000-00004F340000}"/>
    <cellStyle name="SAPBEXHLevel0X 109" xfId="13208" xr:uid="{00000000-0005-0000-0000-000050340000}"/>
    <cellStyle name="SAPBEXHLevel0X 11" xfId="13209" xr:uid="{00000000-0005-0000-0000-000051340000}"/>
    <cellStyle name="SAPBEXHLevel0X 11 2" xfId="13210" xr:uid="{00000000-0005-0000-0000-000052340000}"/>
    <cellStyle name="SAPBEXHLevel0X 11 3" xfId="13211" xr:uid="{00000000-0005-0000-0000-000053340000}"/>
    <cellStyle name="SAPBEXHLevel0X 11 4" xfId="13212" xr:uid="{00000000-0005-0000-0000-000054340000}"/>
    <cellStyle name="SAPBEXHLevel0X 11 5" xfId="13213" xr:uid="{00000000-0005-0000-0000-000055340000}"/>
    <cellStyle name="SAPBEXHLevel0X 11 6" xfId="13214" xr:uid="{00000000-0005-0000-0000-000056340000}"/>
    <cellStyle name="SAPBEXHLevel0X 11 7" xfId="27859" xr:uid="{00000000-0005-0000-0000-000057340000}"/>
    <cellStyle name="SAPBEXHLevel0X 110" xfId="13215" xr:uid="{00000000-0005-0000-0000-000058340000}"/>
    <cellStyle name="SAPBEXHLevel0X 111" xfId="13216" xr:uid="{00000000-0005-0000-0000-000059340000}"/>
    <cellStyle name="SAPBEXHLevel0X 112" xfId="13217" xr:uid="{00000000-0005-0000-0000-00005A340000}"/>
    <cellStyle name="SAPBEXHLevel0X 113" xfId="13218" xr:uid="{00000000-0005-0000-0000-00005B340000}"/>
    <cellStyle name="SAPBEXHLevel0X 114" xfId="13219" xr:uid="{00000000-0005-0000-0000-00005C340000}"/>
    <cellStyle name="SAPBEXHLevel0X 115" xfId="13220" xr:uid="{00000000-0005-0000-0000-00005D340000}"/>
    <cellStyle name="SAPBEXHLevel0X 116" xfId="13221" xr:uid="{00000000-0005-0000-0000-00005E340000}"/>
    <cellStyle name="SAPBEXHLevel0X 117" xfId="13222" xr:uid="{00000000-0005-0000-0000-00005F340000}"/>
    <cellStyle name="SAPBEXHLevel0X 118" xfId="13223" xr:uid="{00000000-0005-0000-0000-000060340000}"/>
    <cellStyle name="SAPBEXHLevel0X 119" xfId="13224" xr:uid="{00000000-0005-0000-0000-000061340000}"/>
    <cellStyle name="SAPBEXHLevel0X 12" xfId="13225" xr:uid="{00000000-0005-0000-0000-000062340000}"/>
    <cellStyle name="SAPBEXHLevel0X 12 2" xfId="13226" xr:uid="{00000000-0005-0000-0000-000063340000}"/>
    <cellStyle name="SAPBEXHLevel0X 12 3" xfId="13227" xr:uid="{00000000-0005-0000-0000-000064340000}"/>
    <cellStyle name="SAPBEXHLevel0X 12 4" xfId="13228" xr:uid="{00000000-0005-0000-0000-000065340000}"/>
    <cellStyle name="SAPBEXHLevel0X 12 5" xfId="13229" xr:uid="{00000000-0005-0000-0000-000066340000}"/>
    <cellStyle name="SAPBEXHLevel0X 12 6" xfId="13230" xr:uid="{00000000-0005-0000-0000-000067340000}"/>
    <cellStyle name="SAPBEXHLevel0X 120" xfId="13231" xr:uid="{00000000-0005-0000-0000-000068340000}"/>
    <cellStyle name="SAPBEXHLevel0X 121" xfId="13232" xr:uid="{00000000-0005-0000-0000-000069340000}"/>
    <cellStyle name="SAPBEXHLevel0X 122" xfId="13233" xr:uid="{00000000-0005-0000-0000-00006A340000}"/>
    <cellStyle name="SAPBEXHLevel0X 123" xfId="13234" xr:uid="{00000000-0005-0000-0000-00006B340000}"/>
    <cellStyle name="SAPBEXHLevel0X 124" xfId="13235" xr:uid="{00000000-0005-0000-0000-00006C340000}"/>
    <cellStyle name="SAPBEXHLevel0X 125" xfId="13236" xr:uid="{00000000-0005-0000-0000-00006D340000}"/>
    <cellStyle name="SAPBEXHLevel0X 126" xfId="13237" xr:uid="{00000000-0005-0000-0000-00006E340000}"/>
    <cellStyle name="SAPBEXHLevel0X 127" xfId="13238" xr:uid="{00000000-0005-0000-0000-00006F340000}"/>
    <cellStyle name="SAPBEXHLevel0X 128" xfId="13239" xr:uid="{00000000-0005-0000-0000-000070340000}"/>
    <cellStyle name="SAPBEXHLevel0X 129" xfId="13240" xr:uid="{00000000-0005-0000-0000-000071340000}"/>
    <cellStyle name="SAPBEXHLevel0X 13" xfId="13241" xr:uid="{00000000-0005-0000-0000-000072340000}"/>
    <cellStyle name="SAPBEXHLevel0X 13 2" xfId="13242" xr:uid="{00000000-0005-0000-0000-000073340000}"/>
    <cellStyle name="SAPBEXHLevel0X 13 3" xfId="13243" xr:uid="{00000000-0005-0000-0000-000074340000}"/>
    <cellStyle name="SAPBEXHLevel0X 13 4" xfId="13244" xr:uid="{00000000-0005-0000-0000-000075340000}"/>
    <cellStyle name="SAPBEXHLevel0X 13 5" xfId="13245" xr:uid="{00000000-0005-0000-0000-000076340000}"/>
    <cellStyle name="SAPBEXHLevel0X 13 6" xfId="13246" xr:uid="{00000000-0005-0000-0000-000077340000}"/>
    <cellStyle name="SAPBEXHLevel0X 130" xfId="13247" xr:uid="{00000000-0005-0000-0000-000078340000}"/>
    <cellStyle name="SAPBEXHLevel0X 131" xfId="13248" xr:uid="{00000000-0005-0000-0000-000079340000}"/>
    <cellStyle name="SAPBEXHLevel0X 132" xfId="13249" xr:uid="{00000000-0005-0000-0000-00007A340000}"/>
    <cellStyle name="SAPBEXHLevel0X 133" xfId="13250" xr:uid="{00000000-0005-0000-0000-00007B340000}"/>
    <cellStyle name="SAPBEXHLevel0X 134" xfId="13251" xr:uid="{00000000-0005-0000-0000-00007C340000}"/>
    <cellStyle name="SAPBEXHLevel0X 135" xfId="13252" xr:uid="{00000000-0005-0000-0000-00007D340000}"/>
    <cellStyle name="SAPBEXHLevel0X 136" xfId="13253" xr:uid="{00000000-0005-0000-0000-00007E340000}"/>
    <cellStyle name="SAPBEXHLevel0X 137" xfId="13254" xr:uid="{00000000-0005-0000-0000-00007F340000}"/>
    <cellStyle name="SAPBEXHLevel0X 138" xfId="13255" xr:uid="{00000000-0005-0000-0000-000080340000}"/>
    <cellStyle name="SAPBEXHLevel0X 139" xfId="13256" xr:uid="{00000000-0005-0000-0000-000081340000}"/>
    <cellStyle name="SAPBEXHLevel0X 14" xfId="13257" xr:uid="{00000000-0005-0000-0000-000082340000}"/>
    <cellStyle name="SAPBEXHLevel0X 14 2" xfId="13258" xr:uid="{00000000-0005-0000-0000-000083340000}"/>
    <cellStyle name="SAPBEXHLevel0X 14 3" xfId="13259" xr:uid="{00000000-0005-0000-0000-000084340000}"/>
    <cellStyle name="SAPBEXHLevel0X 14 4" xfId="13260" xr:uid="{00000000-0005-0000-0000-000085340000}"/>
    <cellStyle name="SAPBEXHLevel0X 14 5" xfId="13261" xr:uid="{00000000-0005-0000-0000-000086340000}"/>
    <cellStyle name="SAPBEXHLevel0X 14 6" xfId="13262" xr:uid="{00000000-0005-0000-0000-000087340000}"/>
    <cellStyle name="SAPBEXHLevel0X 140" xfId="13263" xr:uid="{00000000-0005-0000-0000-000088340000}"/>
    <cellStyle name="SAPBEXHLevel0X 141" xfId="13264" xr:uid="{00000000-0005-0000-0000-000089340000}"/>
    <cellStyle name="SAPBEXHLevel0X 142" xfId="13265" xr:uid="{00000000-0005-0000-0000-00008A340000}"/>
    <cellStyle name="SAPBEXHLevel0X 143" xfId="13266" xr:uid="{00000000-0005-0000-0000-00008B340000}"/>
    <cellStyle name="SAPBEXHLevel0X 144" xfId="13267" xr:uid="{00000000-0005-0000-0000-00008C340000}"/>
    <cellStyle name="SAPBEXHLevel0X 145" xfId="13268" xr:uid="{00000000-0005-0000-0000-00008D340000}"/>
    <cellStyle name="SAPBEXHLevel0X 146" xfId="27814" xr:uid="{00000000-0005-0000-0000-00008E340000}"/>
    <cellStyle name="SAPBEXHLevel0X 147" xfId="27923" xr:uid="{00000000-0005-0000-0000-00008F340000}"/>
    <cellStyle name="SAPBEXHLevel0X 148" xfId="28023" xr:uid="{00000000-0005-0000-0000-000090340000}"/>
    <cellStyle name="SAPBEXHLevel0X 149" xfId="28084" xr:uid="{00000000-0005-0000-0000-000091340000}"/>
    <cellStyle name="SAPBEXHLevel0X 15" xfId="13269" xr:uid="{00000000-0005-0000-0000-000092340000}"/>
    <cellStyle name="SAPBEXHLevel0X 15 2" xfId="13270" xr:uid="{00000000-0005-0000-0000-000093340000}"/>
    <cellStyle name="SAPBEXHLevel0X 15 3" xfId="13271" xr:uid="{00000000-0005-0000-0000-000094340000}"/>
    <cellStyle name="SAPBEXHLevel0X 15 4" xfId="13272" xr:uid="{00000000-0005-0000-0000-000095340000}"/>
    <cellStyle name="SAPBEXHLevel0X 15 5" xfId="13273" xr:uid="{00000000-0005-0000-0000-000096340000}"/>
    <cellStyle name="SAPBEXHLevel0X 15 6" xfId="13274" xr:uid="{00000000-0005-0000-0000-000097340000}"/>
    <cellStyle name="SAPBEXHLevel0X 150" xfId="28156" xr:uid="{00000000-0005-0000-0000-000098340000}"/>
    <cellStyle name="SAPBEXHLevel0X 16" xfId="13275" xr:uid="{00000000-0005-0000-0000-000099340000}"/>
    <cellStyle name="SAPBEXHLevel0X 16 2" xfId="13276" xr:uid="{00000000-0005-0000-0000-00009A340000}"/>
    <cellStyle name="SAPBEXHLevel0X 16 3" xfId="13277" xr:uid="{00000000-0005-0000-0000-00009B340000}"/>
    <cellStyle name="SAPBEXHLevel0X 16 4" xfId="13278" xr:uid="{00000000-0005-0000-0000-00009C340000}"/>
    <cellStyle name="SAPBEXHLevel0X 16 5" xfId="13279" xr:uid="{00000000-0005-0000-0000-00009D340000}"/>
    <cellStyle name="SAPBEXHLevel0X 16 6" xfId="13280" xr:uid="{00000000-0005-0000-0000-00009E340000}"/>
    <cellStyle name="SAPBEXHLevel0X 16 7" xfId="27778" xr:uid="{00000000-0005-0000-0000-00009F340000}"/>
    <cellStyle name="SAPBEXHLevel0X 17" xfId="13281" xr:uid="{00000000-0005-0000-0000-0000A0340000}"/>
    <cellStyle name="SAPBEXHLevel0X 17 2" xfId="13282" xr:uid="{00000000-0005-0000-0000-0000A1340000}"/>
    <cellStyle name="SAPBEXHLevel0X 17 3" xfId="13283" xr:uid="{00000000-0005-0000-0000-0000A2340000}"/>
    <cellStyle name="SAPBEXHLevel0X 17 4" xfId="13284" xr:uid="{00000000-0005-0000-0000-0000A3340000}"/>
    <cellStyle name="SAPBEXHLevel0X 17 5" xfId="13285" xr:uid="{00000000-0005-0000-0000-0000A4340000}"/>
    <cellStyle name="SAPBEXHLevel0X 17 6" xfId="13286" xr:uid="{00000000-0005-0000-0000-0000A5340000}"/>
    <cellStyle name="SAPBEXHLevel0X 18" xfId="13287" xr:uid="{00000000-0005-0000-0000-0000A6340000}"/>
    <cellStyle name="SAPBEXHLevel0X 18 2" xfId="13288" xr:uid="{00000000-0005-0000-0000-0000A7340000}"/>
    <cellStyle name="SAPBEXHLevel0X 18 3" xfId="13289" xr:uid="{00000000-0005-0000-0000-0000A8340000}"/>
    <cellStyle name="SAPBEXHLevel0X 18 4" xfId="13290" xr:uid="{00000000-0005-0000-0000-0000A9340000}"/>
    <cellStyle name="SAPBEXHLevel0X 18 5" xfId="13291" xr:uid="{00000000-0005-0000-0000-0000AA340000}"/>
    <cellStyle name="SAPBEXHLevel0X 18 6" xfId="13292" xr:uid="{00000000-0005-0000-0000-0000AB340000}"/>
    <cellStyle name="SAPBEXHLevel0X 19" xfId="13293" xr:uid="{00000000-0005-0000-0000-0000AC340000}"/>
    <cellStyle name="SAPBEXHLevel0X 19 2" xfId="13294" xr:uid="{00000000-0005-0000-0000-0000AD340000}"/>
    <cellStyle name="SAPBEXHLevel0X 19 3" xfId="13295" xr:uid="{00000000-0005-0000-0000-0000AE340000}"/>
    <cellStyle name="SAPBEXHLevel0X 19 4" xfId="13296" xr:uid="{00000000-0005-0000-0000-0000AF340000}"/>
    <cellStyle name="SAPBEXHLevel0X 19 5" xfId="13297" xr:uid="{00000000-0005-0000-0000-0000B0340000}"/>
    <cellStyle name="SAPBEXHLevel0X 19 6" xfId="13298" xr:uid="{00000000-0005-0000-0000-0000B1340000}"/>
    <cellStyle name="SAPBEXHLevel0X 2" xfId="13299" xr:uid="{00000000-0005-0000-0000-0000B2340000}"/>
    <cellStyle name="SAPBEXHLevel0X 2 10" xfId="13300" xr:uid="{00000000-0005-0000-0000-0000B3340000}"/>
    <cellStyle name="SAPBEXHLevel0X 2 11" xfId="13301" xr:uid="{00000000-0005-0000-0000-0000B4340000}"/>
    <cellStyle name="SAPBEXHLevel0X 2 2" xfId="13302" xr:uid="{00000000-0005-0000-0000-0000B5340000}"/>
    <cellStyle name="SAPBEXHLevel0X 2 2 2" xfId="13303" xr:uid="{00000000-0005-0000-0000-0000B6340000}"/>
    <cellStyle name="SAPBEXHLevel0X 2 2 3" xfId="13304" xr:uid="{00000000-0005-0000-0000-0000B7340000}"/>
    <cellStyle name="SAPBEXHLevel0X 2 2 4" xfId="13305" xr:uid="{00000000-0005-0000-0000-0000B8340000}"/>
    <cellStyle name="SAPBEXHLevel0X 2 2 5" xfId="13306" xr:uid="{00000000-0005-0000-0000-0000B9340000}"/>
    <cellStyle name="SAPBEXHLevel0X 2 2 6" xfId="13307" xr:uid="{00000000-0005-0000-0000-0000BA340000}"/>
    <cellStyle name="SAPBEXHLevel0X 2 3" xfId="13308" xr:uid="{00000000-0005-0000-0000-0000BB340000}"/>
    <cellStyle name="SAPBEXHLevel0X 2 3 2" xfId="13309" xr:uid="{00000000-0005-0000-0000-0000BC340000}"/>
    <cellStyle name="SAPBEXHLevel0X 2 3 3" xfId="13310" xr:uid="{00000000-0005-0000-0000-0000BD340000}"/>
    <cellStyle name="SAPBEXHLevel0X 2 3 4" xfId="13311" xr:uid="{00000000-0005-0000-0000-0000BE340000}"/>
    <cellStyle name="SAPBEXHLevel0X 2 3 5" xfId="13312" xr:uid="{00000000-0005-0000-0000-0000BF340000}"/>
    <cellStyle name="SAPBEXHLevel0X 2 3 6" xfId="13313" xr:uid="{00000000-0005-0000-0000-0000C0340000}"/>
    <cellStyle name="SAPBEXHLevel0X 2 4" xfId="13314" xr:uid="{00000000-0005-0000-0000-0000C1340000}"/>
    <cellStyle name="SAPBEXHLevel0X 2 4 2" xfId="13315" xr:uid="{00000000-0005-0000-0000-0000C2340000}"/>
    <cellStyle name="SAPBEXHLevel0X 2 4 3" xfId="13316" xr:uid="{00000000-0005-0000-0000-0000C3340000}"/>
    <cellStyle name="SAPBEXHLevel0X 2 4 4" xfId="13317" xr:uid="{00000000-0005-0000-0000-0000C4340000}"/>
    <cellStyle name="SAPBEXHLevel0X 2 4 5" xfId="13318" xr:uid="{00000000-0005-0000-0000-0000C5340000}"/>
    <cellStyle name="SAPBEXHLevel0X 2 4 6" xfId="13319" xr:uid="{00000000-0005-0000-0000-0000C6340000}"/>
    <cellStyle name="SAPBEXHLevel0X 2 5" xfId="13320" xr:uid="{00000000-0005-0000-0000-0000C7340000}"/>
    <cellStyle name="SAPBEXHLevel0X 2 5 2" xfId="13321" xr:uid="{00000000-0005-0000-0000-0000C8340000}"/>
    <cellStyle name="SAPBEXHLevel0X 2 5 3" xfId="13322" xr:uid="{00000000-0005-0000-0000-0000C9340000}"/>
    <cellStyle name="SAPBEXHLevel0X 2 5 4" xfId="13323" xr:uid="{00000000-0005-0000-0000-0000CA340000}"/>
    <cellStyle name="SAPBEXHLevel0X 2 5 5" xfId="13324" xr:uid="{00000000-0005-0000-0000-0000CB340000}"/>
    <cellStyle name="SAPBEXHLevel0X 2 5 6" xfId="13325" xr:uid="{00000000-0005-0000-0000-0000CC340000}"/>
    <cellStyle name="SAPBEXHLevel0X 2 6" xfId="13326" xr:uid="{00000000-0005-0000-0000-0000CD340000}"/>
    <cellStyle name="SAPBEXHLevel0X 2 6 2" xfId="13327" xr:uid="{00000000-0005-0000-0000-0000CE340000}"/>
    <cellStyle name="SAPBEXHLevel0X 2 6 3" xfId="13328" xr:uid="{00000000-0005-0000-0000-0000CF340000}"/>
    <cellStyle name="SAPBEXHLevel0X 2 6 4" xfId="13329" xr:uid="{00000000-0005-0000-0000-0000D0340000}"/>
    <cellStyle name="SAPBEXHLevel0X 2 6 5" xfId="13330" xr:uid="{00000000-0005-0000-0000-0000D1340000}"/>
    <cellStyle name="SAPBEXHLevel0X 2 6 6" xfId="13331" xr:uid="{00000000-0005-0000-0000-0000D2340000}"/>
    <cellStyle name="SAPBEXHLevel0X 2 7" xfId="13332" xr:uid="{00000000-0005-0000-0000-0000D3340000}"/>
    <cellStyle name="SAPBEXHLevel0X 2 8" xfId="13333" xr:uid="{00000000-0005-0000-0000-0000D4340000}"/>
    <cellStyle name="SAPBEXHLevel0X 2 9" xfId="13334" xr:uid="{00000000-0005-0000-0000-0000D5340000}"/>
    <cellStyle name="SAPBEXHLevel0X 20" xfId="13335" xr:uid="{00000000-0005-0000-0000-0000D6340000}"/>
    <cellStyle name="SAPBEXHLevel0X 20 2" xfId="13336" xr:uid="{00000000-0005-0000-0000-0000D7340000}"/>
    <cellStyle name="SAPBEXHLevel0X 20 3" xfId="13337" xr:uid="{00000000-0005-0000-0000-0000D8340000}"/>
    <cellStyle name="SAPBEXHLevel0X 20 4" xfId="13338" xr:uid="{00000000-0005-0000-0000-0000D9340000}"/>
    <cellStyle name="SAPBEXHLevel0X 20 5" xfId="13339" xr:uid="{00000000-0005-0000-0000-0000DA340000}"/>
    <cellStyle name="SAPBEXHLevel0X 20 6" xfId="13340" xr:uid="{00000000-0005-0000-0000-0000DB340000}"/>
    <cellStyle name="SAPBEXHLevel0X 21" xfId="13341" xr:uid="{00000000-0005-0000-0000-0000DC340000}"/>
    <cellStyle name="SAPBEXHLevel0X 21 2" xfId="13342" xr:uid="{00000000-0005-0000-0000-0000DD340000}"/>
    <cellStyle name="SAPBEXHLevel0X 21 3" xfId="13343" xr:uid="{00000000-0005-0000-0000-0000DE340000}"/>
    <cellStyle name="SAPBEXHLevel0X 21 4" xfId="13344" xr:uid="{00000000-0005-0000-0000-0000DF340000}"/>
    <cellStyle name="SAPBEXHLevel0X 21 5" xfId="13345" xr:uid="{00000000-0005-0000-0000-0000E0340000}"/>
    <cellStyle name="SAPBEXHLevel0X 21 6" xfId="13346" xr:uid="{00000000-0005-0000-0000-0000E1340000}"/>
    <cellStyle name="SAPBEXHLevel0X 22" xfId="13347" xr:uid="{00000000-0005-0000-0000-0000E2340000}"/>
    <cellStyle name="SAPBEXHLevel0X 22 2" xfId="13348" xr:uid="{00000000-0005-0000-0000-0000E3340000}"/>
    <cellStyle name="SAPBEXHLevel0X 22 3" xfId="13349" xr:uid="{00000000-0005-0000-0000-0000E4340000}"/>
    <cellStyle name="SAPBEXHLevel0X 22 4" xfId="13350" xr:uid="{00000000-0005-0000-0000-0000E5340000}"/>
    <cellStyle name="SAPBEXHLevel0X 22 5" xfId="13351" xr:uid="{00000000-0005-0000-0000-0000E6340000}"/>
    <cellStyle name="SAPBEXHLevel0X 22 6" xfId="13352" xr:uid="{00000000-0005-0000-0000-0000E7340000}"/>
    <cellStyle name="SAPBEXHLevel0X 23" xfId="13353" xr:uid="{00000000-0005-0000-0000-0000E8340000}"/>
    <cellStyle name="SAPBEXHLevel0X 23 2" xfId="13354" xr:uid="{00000000-0005-0000-0000-0000E9340000}"/>
    <cellStyle name="SAPBEXHLevel0X 23 3" xfId="13355" xr:uid="{00000000-0005-0000-0000-0000EA340000}"/>
    <cellStyle name="SAPBEXHLevel0X 23 4" xfId="13356" xr:uid="{00000000-0005-0000-0000-0000EB340000}"/>
    <cellStyle name="SAPBEXHLevel0X 23 5" xfId="13357" xr:uid="{00000000-0005-0000-0000-0000EC340000}"/>
    <cellStyle name="SAPBEXHLevel0X 23 6" xfId="13358" xr:uid="{00000000-0005-0000-0000-0000ED340000}"/>
    <cellStyle name="SAPBEXHLevel0X 24" xfId="13359" xr:uid="{00000000-0005-0000-0000-0000EE340000}"/>
    <cellStyle name="SAPBEXHLevel0X 24 2" xfId="13360" xr:uid="{00000000-0005-0000-0000-0000EF340000}"/>
    <cellStyle name="SAPBEXHLevel0X 24 3" xfId="13361" xr:uid="{00000000-0005-0000-0000-0000F0340000}"/>
    <cellStyle name="SAPBEXHLevel0X 24 4" xfId="13362" xr:uid="{00000000-0005-0000-0000-0000F1340000}"/>
    <cellStyle name="SAPBEXHLevel0X 24 5" xfId="13363" xr:uid="{00000000-0005-0000-0000-0000F2340000}"/>
    <cellStyle name="SAPBEXHLevel0X 24 6" xfId="13364" xr:uid="{00000000-0005-0000-0000-0000F3340000}"/>
    <cellStyle name="SAPBEXHLevel0X 25" xfId="13365" xr:uid="{00000000-0005-0000-0000-0000F4340000}"/>
    <cellStyle name="SAPBEXHLevel0X 25 2" xfId="13366" xr:uid="{00000000-0005-0000-0000-0000F5340000}"/>
    <cellStyle name="SAPBEXHLevel0X 25 3" xfId="13367" xr:uid="{00000000-0005-0000-0000-0000F6340000}"/>
    <cellStyle name="SAPBEXHLevel0X 25 4" xfId="13368" xr:uid="{00000000-0005-0000-0000-0000F7340000}"/>
    <cellStyle name="SAPBEXHLevel0X 25 5" xfId="13369" xr:uid="{00000000-0005-0000-0000-0000F8340000}"/>
    <cellStyle name="SAPBEXHLevel0X 25 6" xfId="13370" xr:uid="{00000000-0005-0000-0000-0000F9340000}"/>
    <cellStyle name="SAPBEXHLevel0X 26" xfId="13371" xr:uid="{00000000-0005-0000-0000-0000FA340000}"/>
    <cellStyle name="SAPBEXHLevel0X 26 2" xfId="13372" xr:uid="{00000000-0005-0000-0000-0000FB340000}"/>
    <cellStyle name="SAPBEXHLevel0X 26 3" xfId="13373" xr:uid="{00000000-0005-0000-0000-0000FC340000}"/>
    <cellStyle name="SAPBEXHLevel0X 26 4" xfId="13374" xr:uid="{00000000-0005-0000-0000-0000FD340000}"/>
    <cellStyle name="SAPBEXHLevel0X 26 5" xfId="13375" xr:uid="{00000000-0005-0000-0000-0000FE340000}"/>
    <cellStyle name="SAPBEXHLevel0X 26 6" xfId="13376" xr:uid="{00000000-0005-0000-0000-0000FF340000}"/>
    <cellStyle name="SAPBEXHLevel0X 27" xfId="13377" xr:uid="{00000000-0005-0000-0000-000000350000}"/>
    <cellStyle name="SAPBEXHLevel0X 27 2" xfId="13378" xr:uid="{00000000-0005-0000-0000-000001350000}"/>
    <cellStyle name="SAPBEXHLevel0X 27 3" xfId="13379" xr:uid="{00000000-0005-0000-0000-000002350000}"/>
    <cellStyle name="SAPBEXHLevel0X 27 4" xfId="13380" xr:uid="{00000000-0005-0000-0000-000003350000}"/>
    <cellStyle name="SAPBEXHLevel0X 27 5" xfId="13381" xr:uid="{00000000-0005-0000-0000-000004350000}"/>
    <cellStyle name="SAPBEXHLevel0X 27 6" xfId="13382" xr:uid="{00000000-0005-0000-0000-000005350000}"/>
    <cellStyle name="SAPBEXHLevel0X 28" xfId="13383" xr:uid="{00000000-0005-0000-0000-000006350000}"/>
    <cellStyle name="SAPBEXHLevel0X 28 2" xfId="13384" xr:uid="{00000000-0005-0000-0000-000007350000}"/>
    <cellStyle name="SAPBEXHLevel0X 28 3" xfId="13385" xr:uid="{00000000-0005-0000-0000-000008350000}"/>
    <cellStyle name="SAPBEXHLevel0X 28 4" xfId="13386" xr:uid="{00000000-0005-0000-0000-000009350000}"/>
    <cellStyle name="SAPBEXHLevel0X 28 5" xfId="13387" xr:uid="{00000000-0005-0000-0000-00000A350000}"/>
    <cellStyle name="SAPBEXHLevel0X 28 6" xfId="13388" xr:uid="{00000000-0005-0000-0000-00000B350000}"/>
    <cellStyle name="SAPBEXHLevel0X 29" xfId="13389" xr:uid="{00000000-0005-0000-0000-00000C350000}"/>
    <cellStyle name="SAPBEXHLevel0X 29 2" xfId="13390" xr:uid="{00000000-0005-0000-0000-00000D350000}"/>
    <cellStyle name="SAPBEXHLevel0X 29 3" xfId="13391" xr:uid="{00000000-0005-0000-0000-00000E350000}"/>
    <cellStyle name="SAPBEXHLevel0X 29 4" xfId="13392" xr:uid="{00000000-0005-0000-0000-00000F350000}"/>
    <cellStyle name="SAPBEXHLevel0X 29 5" xfId="13393" xr:uid="{00000000-0005-0000-0000-000010350000}"/>
    <cellStyle name="SAPBEXHLevel0X 29 6" xfId="13394" xr:uid="{00000000-0005-0000-0000-000011350000}"/>
    <cellStyle name="SAPBEXHLevel0X 3" xfId="13395" xr:uid="{00000000-0005-0000-0000-000012350000}"/>
    <cellStyle name="SAPBEXHLevel0X 3 10" xfId="13396" xr:uid="{00000000-0005-0000-0000-000013350000}"/>
    <cellStyle name="SAPBEXHLevel0X 3 11" xfId="13397" xr:uid="{00000000-0005-0000-0000-000014350000}"/>
    <cellStyle name="SAPBEXHLevel0X 3 2" xfId="13398" xr:uid="{00000000-0005-0000-0000-000015350000}"/>
    <cellStyle name="SAPBEXHLevel0X 3 2 2" xfId="13399" xr:uid="{00000000-0005-0000-0000-000016350000}"/>
    <cellStyle name="SAPBEXHLevel0X 3 2 3" xfId="13400" xr:uid="{00000000-0005-0000-0000-000017350000}"/>
    <cellStyle name="SAPBEXHLevel0X 3 2 4" xfId="13401" xr:uid="{00000000-0005-0000-0000-000018350000}"/>
    <cellStyle name="SAPBEXHLevel0X 3 2 5" xfId="13402" xr:uid="{00000000-0005-0000-0000-000019350000}"/>
    <cellStyle name="SAPBEXHLevel0X 3 2 6" xfId="13403" xr:uid="{00000000-0005-0000-0000-00001A350000}"/>
    <cellStyle name="SAPBEXHLevel0X 3 3" xfId="13404" xr:uid="{00000000-0005-0000-0000-00001B350000}"/>
    <cellStyle name="SAPBEXHLevel0X 3 3 2" xfId="13405" xr:uid="{00000000-0005-0000-0000-00001C350000}"/>
    <cellStyle name="SAPBEXHLevel0X 3 3 3" xfId="13406" xr:uid="{00000000-0005-0000-0000-00001D350000}"/>
    <cellStyle name="SAPBEXHLevel0X 3 3 4" xfId="13407" xr:uid="{00000000-0005-0000-0000-00001E350000}"/>
    <cellStyle name="SAPBEXHLevel0X 3 3 5" xfId="13408" xr:uid="{00000000-0005-0000-0000-00001F350000}"/>
    <cellStyle name="SAPBEXHLevel0X 3 3 6" xfId="13409" xr:uid="{00000000-0005-0000-0000-000020350000}"/>
    <cellStyle name="SAPBEXHLevel0X 3 4" xfId="13410" xr:uid="{00000000-0005-0000-0000-000021350000}"/>
    <cellStyle name="SAPBEXHLevel0X 3 4 2" xfId="13411" xr:uid="{00000000-0005-0000-0000-000022350000}"/>
    <cellStyle name="SAPBEXHLevel0X 3 4 3" xfId="13412" xr:uid="{00000000-0005-0000-0000-000023350000}"/>
    <cellStyle name="SAPBEXHLevel0X 3 4 4" xfId="13413" xr:uid="{00000000-0005-0000-0000-000024350000}"/>
    <cellStyle name="SAPBEXHLevel0X 3 4 5" xfId="13414" xr:uid="{00000000-0005-0000-0000-000025350000}"/>
    <cellStyle name="SAPBEXHLevel0X 3 4 6" xfId="13415" xr:uid="{00000000-0005-0000-0000-000026350000}"/>
    <cellStyle name="SAPBEXHLevel0X 3 5" xfId="13416" xr:uid="{00000000-0005-0000-0000-000027350000}"/>
    <cellStyle name="SAPBEXHLevel0X 3 5 2" xfId="13417" xr:uid="{00000000-0005-0000-0000-000028350000}"/>
    <cellStyle name="SAPBEXHLevel0X 3 5 3" xfId="13418" xr:uid="{00000000-0005-0000-0000-000029350000}"/>
    <cellStyle name="SAPBEXHLevel0X 3 5 4" xfId="13419" xr:uid="{00000000-0005-0000-0000-00002A350000}"/>
    <cellStyle name="SAPBEXHLevel0X 3 5 5" xfId="13420" xr:uid="{00000000-0005-0000-0000-00002B350000}"/>
    <cellStyle name="SAPBEXHLevel0X 3 5 6" xfId="13421" xr:uid="{00000000-0005-0000-0000-00002C350000}"/>
    <cellStyle name="SAPBEXHLevel0X 3 6" xfId="13422" xr:uid="{00000000-0005-0000-0000-00002D350000}"/>
    <cellStyle name="SAPBEXHLevel0X 3 6 2" xfId="13423" xr:uid="{00000000-0005-0000-0000-00002E350000}"/>
    <cellStyle name="SAPBEXHLevel0X 3 6 3" xfId="13424" xr:uid="{00000000-0005-0000-0000-00002F350000}"/>
    <cellStyle name="SAPBEXHLevel0X 3 6 4" xfId="13425" xr:uid="{00000000-0005-0000-0000-000030350000}"/>
    <cellStyle name="SAPBEXHLevel0X 3 6 5" xfId="13426" xr:uid="{00000000-0005-0000-0000-000031350000}"/>
    <cellStyle name="SAPBEXHLevel0X 3 6 6" xfId="13427" xr:uid="{00000000-0005-0000-0000-000032350000}"/>
    <cellStyle name="SAPBEXHLevel0X 3 7" xfId="13428" xr:uid="{00000000-0005-0000-0000-000033350000}"/>
    <cellStyle name="SAPBEXHLevel0X 3 8" xfId="13429" xr:uid="{00000000-0005-0000-0000-000034350000}"/>
    <cellStyle name="SAPBEXHLevel0X 3 9" xfId="13430" xr:uid="{00000000-0005-0000-0000-000035350000}"/>
    <cellStyle name="SAPBEXHLevel0X 30" xfId="13431" xr:uid="{00000000-0005-0000-0000-000036350000}"/>
    <cellStyle name="SAPBEXHLevel0X 30 2" xfId="13432" xr:uid="{00000000-0005-0000-0000-000037350000}"/>
    <cellStyle name="SAPBEXHLevel0X 30 3" xfId="13433" xr:uid="{00000000-0005-0000-0000-000038350000}"/>
    <cellStyle name="SAPBEXHLevel0X 30 4" xfId="13434" xr:uid="{00000000-0005-0000-0000-000039350000}"/>
    <cellStyle name="SAPBEXHLevel0X 30 5" xfId="13435" xr:uid="{00000000-0005-0000-0000-00003A350000}"/>
    <cellStyle name="SAPBEXHLevel0X 30 6" xfId="13436" xr:uid="{00000000-0005-0000-0000-00003B350000}"/>
    <cellStyle name="SAPBEXHLevel0X 31" xfId="13437" xr:uid="{00000000-0005-0000-0000-00003C350000}"/>
    <cellStyle name="SAPBEXHLevel0X 31 2" xfId="13438" xr:uid="{00000000-0005-0000-0000-00003D350000}"/>
    <cellStyle name="SAPBEXHLevel0X 31 3" xfId="13439" xr:uid="{00000000-0005-0000-0000-00003E350000}"/>
    <cellStyle name="SAPBEXHLevel0X 31 4" xfId="13440" xr:uid="{00000000-0005-0000-0000-00003F350000}"/>
    <cellStyle name="SAPBEXHLevel0X 31 5" xfId="13441" xr:uid="{00000000-0005-0000-0000-000040350000}"/>
    <cellStyle name="SAPBEXHLevel0X 31 6" xfId="13442" xr:uid="{00000000-0005-0000-0000-000041350000}"/>
    <cellStyle name="SAPBEXHLevel0X 32" xfId="13443" xr:uid="{00000000-0005-0000-0000-000042350000}"/>
    <cellStyle name="SAPBEXHLevel0X 32 2" xfId="13444" xr:uid="{00000000-0005-0000-0000-000043350000}"/>
    <cellStyle name="SAPBEXHLevel0X 32 3" xfId="13445" xr:uid="{00000000-0005-0000-0000-000044350000}"/>
    <cellStyle name="SAPBEXHLevel0X 32 4" xfId="13446" xr:uid="{00000000-0005-0000-0000-000045350000}"/>
    <cellStyle name="SAPBEXHLevel0X 32 5" xfId="13447" xr:uid="{00000000-0005-0000-0000-000046350000}"/>
    <cellStyle name="SAPBEXHLevel0X 32 6" xfId="13448" xr:uid="{00000000-0005-0000-0000-000047350000}"/>
    <cellStyle name="SAPBEXHLevel0X 33" xfId="13449" xr:uid="{00000000-0005-0000-0000-000048350000}"/>
    <cellStyle name="SAPBEXHLevel0X 34" xfId="13450" xr:uid="{00000000-0005-0000-0000-000049350000}"/>
    <cellStyle name="SAPBEXHLevel0X 35" xfId="13451" xr:uid="{00000000-0005-0000-0000-00004A350000}"/>
    <cellStyle name="SAPBEXHLevel0X 36" xfId="13452" xr:uid="{00000000-0005-0000-0000-00004B350000}"/>
    <cellStyle name="SAPBEXHLevel0X 37" xfId="13453" xr:uid="{00000000-0005-0000-0000-00004C350000}"/>
    <cellStyle name="SAPBEXHLevel0X 38" xfId="13454" xr:uid="{00000000-0005-0000-0000-00004D350000}"/>
    <cellStyle name="SAPBEXHLevel0X 39" xfId="13455" xr:uid="{00000000-0005-0000-0000-00004E350000}"/>
    <cellStyle name="SAPBEXHLevel0X 4" xfId="13456" xr:uid="{00000000-0005-0000-0000-00004F350000}"/>
    <cellStyle name="SAPBEXHLevel0X 4 10" xfId="13457" xr:uid="{00000000-0005-0000-0000-000050350000}"/>
    <cellStyle name="SAPBEXHLevel0X 4 10 2" xfId="13458" xr:uid="{00000000-0005-0000-0000-000051350000}"/>
    <cellStyle name="SAPBEXHLevel0X 4 10 3" xfId="13459" xr:uid="{00000000-0005-0000-0000-000052350000}"/>
    <cellStyle name="SAPBEXHLevel0X 4 10 4" xfId="13460" xr:uid="{00000000-0005-0000-0000-000053350000}"/>
    <cellStyle name="SAPBEXHLevel0X 4 11" xfId="13461" xr:uid="{00000000-0005-0000-0000-000054350000}"/>
    <cellStyle name="SAPBEXHLevel0X 4 11 2" xfId="13462" xr:uid="{00000000-0005-0000-0000-000055350000}"/>
    <cellStyle name="SAPBEXHLevel0X 4 11 3" xfId="13463" xr:uid="{00000000-0005-0000-0000-000056350000}"/>
    <cellStyle name="SAPBEXHLevel0X 4 11 4" xfId="13464" xr:uid="{00000000-0005-0000-0000-000057350000}"/>
    <cellStyle name="SAPBEXHLevel0X 4 12" xfId="13465" xr:uid="{00000000-0005-0000-0000-000058350000}"/>
    <cellStyle name="SAPBEXHLevel0X 4 12 2" xfId="13466" xr:uid="{00000000-0005-0000-0000-000059350000}"/>
    <cellStyle name="SAPBEXHLevel0X 4 12 3" xfId="13467" xr:uid="{00000000-0005-0000-0000-00005A350000}"/>
    <cellStyle name="SAPBEXHLevel0X 4 12 4" xfId="13468" xr:uid="{00000000-0005-0000-0000-00005B350000}"/>
    <cellStyle name="SAPBEXHLevel0X 4 13" xfId="13469" xr:uid="{00000000-0005-0000-0000-00005C350000}"/>
    <cellStyle name="SAPBEXHLevel0X 4 13 2" xfId="13470" xr:uid="{00000000-0005-0000-0000-00005D350000}"/>
    <cellStyle name="SAPBEXHLevel0X 4 13 3" xfId="13471" xr:uid="{00000000-0005-0000-0000-00005E350000}"/>
    <cellStyle name="SAPBEXHLevel0X 4 13 4" xfId="13472" xr:uid="{00000000-0005-0000-0000-00005F350000}"/>
    <cellStyle name="SAPBEXHLevel0X 4 14" xfId="13473" xr:uid="{00000000-0005-0000-0000-000060350000}"/>
    <cellStyle name="SAPBEXHLevel0X 4 15" xfId="13474" xr:uid="{00000000-0005-0000-0000-000061350000}"/>
    <cellStyle name="SAPBEXHLevel0X 4 16" xfId="13475" xr:uid="{00000000-0005-0000-0000-000062350000}"/>
    <cellStyle name="SAPBEXHLevel0X 4 17" xfId="13476" xr:uid="{00000000-0005-0000-0000-000063350000}"/>
    <cellStyle name="SAPBEXHLevel0X 4 18" xfId="13477" xr:uid="{00000000-0005-0000-0000-000064350000}"/>
    <cellStyle name="SAPBEXHLevel0X 4 2" xfId="13478" xr:uid="{00000000-0005-0000-0000-000065350000}"/>
    <cellStyle name="SAPBEXHLevel0X 4 2 2" xfId="13479" xr:uid="{00000000-0005-0000-0000-000066350000}"/>
    <cellStyle name="SAPBEXHLevel0X 4 2 2 2" xfId="13480" xr:uid="{00000000-0005-0000-0000-000067350000}"/>
    <cellStyle name="SAPBEXHLevel0X 4 2 2 3" xfId="13481" xr:uid="{00000000-0005-0000-0000-000068350000}"/>
    <cellStyle name="SAPBEXHLevel0X 4 2 2 4" xfId="13482" xr:uid="{00000000-0005-0000-0000-000069350000}"/>
    <cellStyle name="SAPBEXHLevel0X 4 2 2 5" xfId="13483" xr:uid="{00000000-0005-0000-0000-00006A350000}"/>
    <cellStyle name="SAPBEXHLevel0X 4 2 2 6" xfId="13484" xr:uid="{00000000-0005-0000-0000-00006B350000}"/>
    <cellStyle name="SAPBEXHLevel0X 4 2 3" xfId="13485" xr:uid="{00000000-0005-0000-0000-00006C350000}"/>
    <cellStyle name="SAPBEXHLevel0X 4 2 3 2" xfId="13486" xr:uid="{00000000-0005-0000-0000-00006D350000}"/>
    <cellStyle name="SAPBEXHLevel0X 4 2 3 3" xfId="13487" xr:uid="{00000000-0005-0000-0000-00006E350000}"/>
    <cellStyle name="SAPBEXHLevel0X 4 2 3 4" xfId="13488" xr:uid="{00000000-0005-0000-0000-00006F350000}"/>
    <cellStyle name="SAPBEXHLevel0X 4 2 3 5" xfId="13489" xr:uid="{00000000-0005-0000-0000-000070350000}"/>
    <cellStyle name="SAPBEXHLevel0X 4 2 3 6" xfId="13490" xr:uid="{00000000-0005-0000-0000-000071350000}"/>
    <cellStyle name="SAPBEXHLevel0X 4 2 4" xfId="13491" xr:uid="{00000000-0005-0000-0000-000072350000}"/>
    <cellStyle name="SAPBEXHLevel0X 4 2 4 2" xfId="13492" xr:uid="{00000000-0005-0000-0000-000073350000}"/>
    <cellStyle name="SAPBEXHLevel0X 4 2 4 3" xfId="13493" xr:uid="{00000000-0005-0000-0000-000074350000}"/>
    <cellStyle name="SAPBEXHLevel0X 4 2 4 4" xfId="13494" xr:uid="{00000000-0005-0000-0000-000075350000}"/>
    <cellStyle name="SAPBEXHLevel0X 4 2 4 5" xfId="13495" xr:uid="{00000000-0005-0000-0000-000076350000}"/>
    <cellStyle name="SAPBEXHLevel0X 4 2 4 6" xfId="13496" xr:uid="{00000000-0005-0000-0000-000077350000}"/>
    <cellStyle name="SAPBEXHLevel0X 4 2 5" xfId="13497" xr:uid="{00000000-0005-0000-0000-000078350000}"/>
    <cellStyle name="SAPBEXHLevel0X 4 2 5 2" xfId="13498" xr:uid="{00000000-0005-0000-0000-000079350000}"/>
    <cellStyle name="SAPBEXHLevel0X 4 2 5 3" xfId="13499" xr:uid="{00000000-0005-0000-0000-00007A350000}"/>
    <cellStyle name="SAPBEXHLevel0X 4 2 5 4" xfId="13500" xr:uid="{00000000-0005-0000-0000-00007B350000}"/>
    <cellStyle name="SAPBEXHLevel0X 4 2 5 5" xfId="13501" xr:uid="{00000000-0005-0000-0000-00007C350000}"/>
    <cellStyle name="SAPBEXHLevel0X 4 2 5 6" xfId="13502" xr:uid="{00000000-0005-0000-0000-00007D350000}"/>
    <cellStyle name="SAPBEXHLevel0X 4 2 6" xfId="13503" xr:uid="{00000000-0005-0000-0000-00007E350000}"/>
    <cellStyle name="SAPBEXHLevel0X 4 2 7" xfId="13504" xr:uid="{00000000-0005-0000-0000-00007F350000}"/>
    <cellStyle name="SAPBEXHLevel0X 4 2 8" xfId="13505" xr:uid="{00000000-0005-0000-0000-000080350000}"/>
    <cellStyle name="SAPBEXHLevel0X 4 3" xfId="13506" xr:uid="{00000000-0005-0000-0000-000081350000}"/>
    <cellStyle name="SAPBEXHLevel0X 4 3 2" xfId="13507" xr:uid="{00000000-0005-0000-0000-000082350000}"/>
    <cellStyle name="SAPBEXHLevel0X 4 3 2 2" xfId="13508" xr:uid="{00000000-0005-0000-0000-000083350000}"/>
    <cellStyle name="SAPBEXHLevel0X 4 3 2 3" xfId="13509" xr:uid="{00000000-0005-0000-0000-000084350000}"/>
    <cellStyle name="SAPBEXHLevel0X 4 3 2 4" xfId="13510" xr:uid="{00000000-0005-0000-0000-000085350000}"/>
    <cellStyle name="SAPBEXHLevel0X 4 3 2 5" xfId="13511" xr:uid="{00000000-0005-0000-0000-000086350000}"/>
    <cellStyle name="SAPBEXHLevel0X 4 3 2 6" xfId="13512" xr:uid="{00000000-0005-0000-0000-000087350000}"/>
    <cellStyle name="SAPBEXHLevel0X 4 3 3" xfId="13513" xr:uid="{00000000-0005-0000-0000-000088350000}"/>
    <cellStyle name="SAPBEXHLevel0X 4 3 3 2" xfId="13514" xr:uid="{00000000-0005-0000-0000-000089350000}"/>
    <cellStyle name="SAPBEXHLevel0X 4 3 3 3" xfId="13515" xr:uid="{00000000-0005-0000-0000-00008A350000}"/>
    <cellStyle name="SAPBEXHLevel0X 4 3 3 4" xfId="13516" xr:uid="{00000000-0005-0000-0000-00008B350000}"/>
    <cellStyle name="SAPBEXHLevel0X 4 3 3 5" xfId="13517" xr:uid="{00000000-0005-0000-0000-00008C350000}"/>
    <cellStyle name="SAPBEXHLevel0X 4 3 3 6" xfId="13518" xr:uid="{00000000-0005-0000-0000-00008D350000}"/>
    <cellStyle name="SAPBEXHLevel0X 4 3 4" xfId="13519" xr:uid="{00000000-0005-0000-0000-00008E350000}"/>
    <cellStyle name="SAPBEXHLevel0X 4 3 4 2" xfId="13520" xr:uid="{00000000-0005-0000-0000-00008F350000}"/>
    <cellStyle name="SAPBEXHLevel0X 4 3 4 3" xfId="13521" xr:uid="{00000000-0005-0000-0000-000090350000}"/>
    <cellStyle name="SAPBEXHLevel0X 4 3 4 4" xfId="13522" xr:uid="{00000000-0005-0000-0000-000091350000}"/>
    <cellStyle name="SAPBEXHLevel0X 4 3 4 5" xfId="13523" xr:uid="{00000000-0005-0000-0000-000092350000}"/>
    <cellStyle name="SAPBEXHLevel0X 4 3 4 6" xfId="13524" xr:uid="{00000000-0005-0000-0000-000093350000}"/>
    <cellStyle name="SAPBEXHLevel0X 4 3 5" xfId="13525" xr:uid="{00000000-0005-0000-0000-000094350000}"/>
    <cellStyle name="SAPBEXHLevel0X 4 3 5 2" xfId="13526" xr:uid="{00000000-0005-0000-0000-000095350000}"/>
    <cellStyle name="SAPBEXHLevel0X 4 3 5 3" xfId="13527" xr:uid="{00000000-0005-0000-0000-000096350000}"/>
    <cellStyle name="SAPBEXHLevel0X 4 3 5 4" xfId="13528" xr:uid="{00000000-0005-0000-0000-000097350000}"/>
    <cellStyle name="SAPBEXHLevel0X 4 3 5 5" xfId="13529" xr:uid="{00000000-0005-0000-0000-000098350000}"/>
    <cellStyle name="SAPBEXHLevel0X 4 3 5 6" xfId="13530" xr:uid="{00000000-0005-0000-0000-000099350000}"/>
    <cellStyle name="SAPBEXHLevel0X 4 3 6" xfId="13531" xr:uid="{00000000-0005-0000-0000-00009A350000}"/>
    <cellStyle name="SAPBEXHLevel0X 4 3 7" xfId="13532" xr:uid="{00000000-0005-0000-0000-00009B350000}"/>
    <cellStyle name="SAPBEXHLevel0X 4 3 8" xfId="13533" xr:uid="{00000000-0005-0000-0000-00009C350000}"/>
    <cellStyle name="SAPBEXHLevel0X 4 4" xfId="13534" xr:uid="{00000000-0005-0000-0000-00009D350000}"/>
    <cellStyle name="SAPBEXHLevel0X 4 4 2" xfId="13535" xr:uid="{00000000-0005-0000-0000-00009E350000}"/>
    <cellStyle name="SAPBEXHLevel0X 4 4 2 2" xfId="13536" xr:uid="{00000000-0005-0000-0000-00009F350000}"/>
    <cellStyle name="SAPBEXHLevel0X 4 4 2 3" xfId="13537" xr:uid="{00000000-0005-0000-0000-0000A0350000}"/>
    <cellStyle name="SAPBEXHLevel0X 4 4 2 4" xfId="13538" xr:uid="{00000000-0005-0000-0000-0000A1350000}"/>
    <cellStyle name="SAPBEXHLevel0X 4 4 2 5" xfId="13539" xr:uid="{00000000-0005-0000-0000-0000A2350000}"/>
    <cellStyle name="SAPBEXHLevel0X 4 4 2 6" xfId="13540" xr:uid="{00000000-0005-0000-0000-0000A3350000}"/>
    <cellStyle name="SAPBEXHLevel0X 4 4 3" xfId="13541" xr:uid="{00000000-0005-0000-0000-0000A4350000}"/>
    <cellStyle name="SAPBEXHLevel0X 4 4 3 2" xfId="13542" xr:uid="{00000000-0005-0000-0000-0000A5350000}"/>
    <cellStyle name="SAPBEXHLevel0X 4 4 3 3" xfId="13543" xr:uid="{00000000-0005-0000-0000-0000A6350000}"/>
    <cellStyle name="SAPBEXHLevel0X 4 4 3 4" xfId="13544" xr:uid="{00000000-0005-0000-0000-0000A7350000}"/>
    <cellStyle name="SAPBEXHLevel0X 4 4 3 5" xfId="13545" xr:uid="{00000000-0005-0000-0000-0000A8350000}"/>
    <cellStyle name="SAPBEXHLevel0X 4 4 3 6" xfId="13546" xr:uid="{00000000-0005-0000-0000-0000A9350000}"/>
    <cellStyle name="SAPBEXHLevel0X 4 4 4" xfId="13547" xr:uid="{00000000-0005-0000-0000-0000AA350000}"/>
    <cellStyle name="SAPBEXHLevel0X 4 4 4 2" xfId="13548" xr:uid="{00000000-0005-0000-0000-0000AB350000}"/>
    <cellStyle name="SAPBEXHLevel0X 4 4 4 3" xfId="13549" xr:uid="{00000000-0005-0000-0000-0000AC350000}"/>
    <cellStyle name="SAPBEXHLevel0X 4 4 4 4" xfId="13550" xr:uid="{00000000-0005-0000-0000-0000AD350000}"/>
    <cellStyle name="SAPBEXHLevel0X 4 4 4 5" xfId="13551" xr:uid="{00000000-0005-0000-0000-0000AE350000}"/>
    <cellStyle name="SAPBEXHLevel0X 4 4 4 6" xfId="13552" xr:uid="{00000000-0005-0000-0000-0000AF350000}"/>
    <cellStyle name="SAPBEXHLevel0X 4 4 5" xfId="13553" xr:uid="{00000000-0005-0000-0000-0000B0350000}"/>
    <cellStyle name="SAPBEXHLevel0X 4 4 5 2" xfId="13554" xr:uid="{00000000-0005-0000-0000-0000B1350000}"/>
    <cellStyle name="SAPBEXHLevel0X 4 4 5 3" xfId="13555" xr:uid="{00000000-0005-0000-0000-0000B2350000}"/>
    <cellStyle name="SAPBEXHLevel0X 4 4 5 4" xfId="13556" xr:uid="{00000000-0005-0000-0000-0000B3350000}"/>
    <cellStyle name="SAPBEXHLevel0X 4 4 5 5" xfId="13557" xr:uid="{00000000-0005-0000-0000-0000B4350000}"/>
    <cellStyle name="SAPBEXHLevel0X 4 4 5 6" xfId="13558" xr:uid="{00000000-0005-0000-0000-0000B5350000}"/>
    <cellStyle name="SAPBEXHLevel0X 4 4 6" xfId="13559" xr:uid="{00000000-0005-0000-0000-0000B6350000}"/>
    <cellStyle name="SAPBEXHLevel0X 4 4 7" xfId="13560" xr:uid="{00000000-0005-0000-0000-0000B7350000}"/>
    <cellStyle name="SAPBEXHLevel0X 4 4 8" xfId="13561" xr:uid="{00000000-0005-0000-0000-0000B8350000}"/>
    <cellStyle name="SAPBEXHLevel0X 4 5" xfId="13562" xr:uid="{00000000-0005-0000-0000-0000B9350000}"/>
    <cellStyle name="SAPBEXHLevel0X 4 5 2" xfId="13563" xr:uid="{00000000-0005-0000-0000-0000BA350000}"/>
    <cellStyle name="SAPBEXHLevel0X 4 5 3" xfId="13564" xr:uid="{00000000-0005-0000-0000-0000BB350000}"/>
    <cellStyle name="SAPBEXHLevel0X 4 5 4" xfId="13565" xr:uid="{00000000-0005-0000-0000-0000BC350000}"/>
    <cellStyle name="SAPBEXHLevel0X 4 6" xfId="13566" xr:uid="{00000000-0005-0000-0000-0000BD350000}"/>
    <cellStyle name="SAPBEXHLevel0X 4 6 2" xfId="13567" xr:uid="{00000000-0005-0000-0000-0000BE350000}"/>
    <cellStyle name="SAPBEXHLevel0X 4 6 3" xfId="13568" xr:uid="{00000000-0005-0000-0000-0000BF350000}"/>
    <cellStyle name="SAPBEXHLevel0X 4 6 4" xfId="13569" xr:uid="{00000000-0005-0000-0000-0000C0350000}"/>
    <cellStyle name="SAPBEXHLevel0X 4 7" xfId="13570" xr:uid="{00000000-0005-0000-0000-0000C1350000}"/>
    <cellStyle name="SAPBEXHLevel0X 4 7 2" xfId="13571" xr:uid="{00000000-0005-0000-0000-0000C2350000}"/>
    <cellStyle name="SAPBEXHLevel0X 4 7 3" xfId="13572" xr:uid="{00000000-0005-0000-0000-0000C3350000}"/>
    <cellStyle name="SAPBEXHLevel0X 4 7 4" xfId="13573" xr:uid="{00000000-0005-0000-0000-0000C4350000}"/>
    <cellStyle name="SAPBEXHLevel0X 4 8" xfId="13574" xr:uid="{00000000-0005-0000-0000-0000C5350000}"/>
    <cellStyle name="SAPBEXHLevel0X 4 8 2" xfId="13575" xr:uid="{00000000-0005-0000-0000-0000C6350000}"/>
    <cellStyle name="SAPBEXHLevel0X 4 8 3" xfId="13576" xr:uid="{00000000-0005-0000-0000-0000C7350000}"/>
    <cellStyle name="SAPBEXHLevel0X 4 8 4" xfId="13577" xr:uid="{00000000-0005-0000-0000-0000C8350000}"/>
    <cellStyle name="SAPBEXHLevel0X 4 9" xfId="13578" xr:uid="{00000000-0005-0000-0000-0000C9350000}"/>
    <cellStyle name="SAPBEXHLevel0X 4 9 2" xfId="13579" xr:uid="{00000000-0005-0000-0000-0000CA350000}"/>
    <cellStyle name="SAPBEXHLevel0X 4 9 3" xfId="13580" xr:uid="{00000000-0005-0000-0000-0000CB350000}"/>
    <cellStyle name="SAPBEXHLevel0X 4 9 4" xfId="13581" xr:uid="{00000000-0005-0000-0000-0000CC350000}"/>
    <cellStyle name="SAPBEXHLevel0X 40" xfId="13582" xr:uid="{00000000-0005-0000-0000-0000CD350000}"/>
    <cellStyle name="SAPBEXHLevel0X 41" xfId="13583" xr:uid="{00000000-0005-0000-0000-0000CE350000}"/>
    <cellStyle name="SAPBEXHLevel0X 42" xfId="13584" xr:uid="{00000000-0005-0000-0000-0000CF350000}"/>
    <cellStyle name="SAPBEXHLevel0X 43" xfId="13585" xr:uid="{00000000-0005-0000-0000-0000D0350000}"/>
    <cellStyle name="SAPBEXHLevel0X 44" xfId="13586" xr:uid="{00000000-0005-0000-0000-0000D1350000}"/>
    <cellStyle name="SAPBEXHLevel0X 45" xfId="13587" xr:uid="{00000000-0005-0000-0000-0000D2350000}"/>
    <cellStyle name="SAPBEXHLevel0X 46" xfId="13588" xr:uid="{00000000-0005-0000-0000-0000D3350000}"/>
    <cellStyle name="SAPBEXHLevel0X 47" xfId="13589" xr:uid="{00000000-0005-0000-0000-0000D4350000}"/>
    <cellStyle name="SAPBEXHLevel0X 48" xfId="13590" xr:uid="{00000000-0005-0000-0000-0000D5350000}"/>
    <cellStyle name="SAPBEXHLevel0X 49" xfId="13591" xr:uid="{00000000-0005-0000-0000-0000D6350000}"/>
    <cellStyle name="SAPBEXHLevel0X 5" xfId="13592" xr:uid="{00000000-0005-0000-0000-0000D7350000}"/>
    <cellStyle name="SAPBEXHLevel0X 5 10" xfId="13593" xr:uid="{00000000-0005-0000-0000-0000D8350000}"/>
    <cellStyle name="SAPBEXHLevel0X 5 11" xfId="13594" xr:uid="{00000000-0005-0000-0000-0000D9350000}"/>
    <cellStyle name="SAPBEXHLevel0X 5 12" xfId="13595" xr:uid="{00000000-0005-0000-0000-0000DA350000}"/>
    <cellStyle name="SAPBEXHLevel0X 5 2" xfId="13596" xr:uid="{00000000-0005-0000-0000-0000DB350000}"/>
    <cellStyle name="SAPBEXHLevel0X 5 2 2" xfId="13597" xr:uid="{00000000-0005-0000-0000-0000DC350000}"/>
    <cellStyle name="SAPBEXHLevel0X 5 2 2 2" xfId="13598" xr:uid="{00000000-0005-0000-0000-0000DD350000}"/>
    <cellStyle name="SAPBEXHLevel0X 5 2 2 3" xfId="13599" xr:uid="{00000000-0005-0000-0000-0000DE350000}"/>
    <cellStyle name="SAPBEXHLevel0X 5 2 2 4" xfId="13600" xr:uid="{00000000-0005-0000-0000-0000DF350000}"/>
    <cellStyle name="SAPBEXHLevel0X 5 2 2 5" xfId="13601" xr:uid="{00000000-0005-0000-0000-0000E0350000}"/>
    <cellStyle name="SAPBEXHLevel0X 5 2 2 6" xfId="13602" xr:uid="{00000000-0005-0000-0000-0000E1350000}"/>
    <cellStyle name="SAPBEXHLevel0X 5 2 3" xfId="13603" xr:uid="{00000000-0005-0000-0000-0000E2350000}"/>
    <cellStyle name="SAPBEXHLevel0X 5 2 3 2" xfId="13604" xr:uid="{00000000-0005-0000-0000-0000E3350000}"/>
    <cellStyle name="SAPBEXHLevel0X 5 2 3 3" xfId="13605" xr:uid="{00000000-0005-0000-0000-0000E4350000}"/>
    <cellStyle name="SAPBEXHLevel0X 5 2 3 4" xfId="13606" xr:uid="{00000000-0005-0000-0000-0000E5350000}"/>
    <cellStyle name="SAPBEXHLevel0X 5 2 3 5" xfId="13607" xr:uid="{00000000-0005-0000-0000-0000E6350000}"/>
    <cellStyle name="SAPBEXHLevel0X 5 2 3 6" xfId="13608" xr:uid="{00000000-0005-0000-0000-0000E7350000}"/>
    <cellStyle name="SAPBEXHLevel0X 5 2 4" xfId="13609" xr:uid="{00000000-0005-0000-0000-0000E8350000}"/>
    <cellStyle name="SAPBEXHLevel0X 5 2 4 2" xfId="13610" xr:uid="{00000000-0005-0000-0000-0000E9350000}"/>
    <cellStyle name="SAPBEXHLevel0X 5 2 4 3" xfId="13611" xr:uid="{00000000-0005-0000-0000-0000EA350000}"/>
    <cellStyle name="SAPBEXHLevel0X 5 2 4 4" xfId="13612" xr:uid="{00000000-0005-0000-0000-0000EB350000}"/>
    <cellStyle name="SAPBEXHLevel0X 5 2 4 5" xfId="13613" xr:uid="{00000000-0005-0000-0000-0000EC350000}"/>
    <cellStyle name="SAPBEXHLevel0X 5 2 4 6" xfId="13614" xr:uid="{00000000-0005-0000-0000-0000ED350000}"/>
    <cellStyle name="SAPBEXHLevel0X 5 2 5" xfId="13615" xr:uid="{00000000-0005-0000-0000-0000EE350000}"/>
    <cellStyle name="SAPBEXHLevel0X 5 2 5 2" xfId="13616" xr:uid="{00000000-0005-0000-0000-0000EF350000}"/>
    <cellStyle name="SAPBEXHLevel0X 5 2 5 3" xfId="13617" xr:uid="{00000000-0005-0000-0000-0000F0350000}"/>
    <cellStyle name="SAPBEXHLevel0X 5 2 5 4" xfId="13618" xr:uid="{00000000-0005-0000-0000-0000F1350000}"/>
    <cellStyle name="SAPBEXHLevel0X 5 2 5 5" xfId="13619" xr:uid="{00000000-0005-0000-0000-0000F2350000}"/>
    <cellStyle name="SAPBEXHLevel0X 5 2 5 6" xfId="13620" xr:uid="{00000000-0005-0000-0000-0000F3350000}"/>
    <cellStyle name="SAPBEXHLevel0X 5 2 6" xfId="13621" xr:uid="{00000000-0005-0000-0000-0000F4350000}"/>
    <cellStyle name="SAPBEXHLevel0X 5 2 7" xfId="13622" xr:uid="{00000000-0005-0000-0000-0000F5350000}"/>
    <cellStyle name="SAPBEXHLevel0X 5 2 8" xfId="13623" xr:uid="{00000000-0005-0000-0000-0000F6350000}"/>
    <cellStyle name="SAPBEXHLevel0X 5 3" xfId="13624" xr:uid="{00000000-0005-0000-0000-0000F7350000}"/>
    <cellStyle name="SAPBEXHLevel0X 5 3 2" xfId="13625" xr:uid="{00000000-0005-0000-0000-0000F8350000}"/>
    <cellStyle name="SAPBEXHLevel0X 5 3 3" xfId="13626" xr:uid="{00000000-0005-0000-0000-0000F9350000}"/>
    <cellStyle name="SAPBEXHLevel0X 5 3 4" xfId="13627" xr:uid="{00000000-0005-0000-0000-0000FA350000}"/>
    <cellStyle name="SAPBEXHLevel0X 5 3 5" xfId="13628" xr:uid="{00000000-0005-0000-0000-0000FB350000}"/>
    <cellStyle name="SAPBEXHLevel0X 5 3 6" xfId="13629" xr:uid="{00000000-0005-0000-0000-0000FC350000}"/>
    <cellStyle name="SAPBEXHLevel0X 5 4" xfId="13630" xr:uid="{00000000-0005-0000-0000-0000FD350000}"/>
    <cellStyle name="SAPBEXHLevel0X 5 4 2" xfId="13631" xr:uid="{00000000-0005-0000-0000-0000FE350000}"/>
    <cellStyle name="SAPBEXHLevel0X 5 4 3" xfId="13632" xr:uid="{00000000-0005-0000-0000-0000FF350000}"/>
    <cellStyle name="SAPBEXHLevel0X 5 4 4" xfId="13633" xr:uid="{00000000-0005-0000-0000-000000360000}"/>
    <cellStyle name="SAPBEXHLevel0X 5 4 5" xfId="13634" xr:uid="{00000000-0005-0000-0000-000001360000}"/>
    <cellStyle name="SAPBEXHLevel0X 5 4 6" xfId="13635" xr:uid="{00000000-0005-0000-0000-000002360000}"/>
    <cellStyle name="SAPBEXHLevel0X 5 5" xfId="13636" xr:uid="{00000000-0005-0000-0000-000003360000}"/>
    <cellStyle name="SAPBEXHLevel0X 5 5 2" xfId="13637" xr:uid="{00000000-0005-0000-0000-000004360000}"/>
    <cellStyle name="SAPBEXHLevel0X 5 5 3" xfId="13638" xr:uid="{00000000-0005-0000-0000-000005360000}"/>
    <cellStyle name="SAPBEXHLevel0X 5 5 4" xfId="13639" xr:uid="{00000000-0005-0000-0000-000006360000}"/>
    <cellStyle name="SAPBEXHLevel0X 5 6" xfId="13640" xr:uid="{00000000-0005-0000-0000-000007360000}"/>
    <cellStyle name="SAPBEXHLevel0X 5 6 2" xfId="13641" xr:uid="{00000000-0005-0000-0000-000008360000}"/>
    <cellStyle name="SAPBEXHLevel0X 5 6 3" xfId="13642" xr:uid="{00000000-0005-0000-0000-000009360000}"/>
    <cellStyle name="SAPBEXHLevel0X 5 6 4" xfId="13643" xr:uid="{00000000-0005-0000-0000-00000A360000}"/>
    <cellStyle name="SAPBEXHLevel0X 5 7" xfId="13644" xr:uid="{00000000-0005-0000-0000-00000B360000}"/>
    <cellStyle name="SAPBEXHLevel0X 5 7 2" xfId="13645" xr:uid="{00000000-0005-0000-0000-00000C360000}"/>
    <cellStyle name="SAPBEXHLevel0X 5 7 3" xfId="13646" xr:uid="{00000000-0005-0000-0000-00000D360000}"/>
    <cellStyle name="SAPBEXHLevel0X 5 7 4" xfId="13647" xr:uid="{00000000-0005-0000-0000-00000E360000}"/>
    <cellStyle name="SAPBEXHLevel0X 5 8" xfId="13648" xr:uid="{00000000-0005-0000-0000-00000F360000}"/>
    <cellStyle name="SAPBEXHLevel0X 5 9" xfId="13649" xr:uid="{00000000-0005-0000-0000-000010360000}"/>
    <cellStyle name="SAPBEXHLevel0X 50" xfId="13650" xr:uid="{00000000-0005-0000-0000-000011360000}"/>
    <cellStyle name="SAPBEXHLevel0X 51" xfId="13651" xr:uid="{00000000-0005-0000-0000-000012360000}"/>
    <cellStyle name="SAPBEXHLevel0X 52" xfId="13652" xr:uid="{00000000-0005-0000-0000-000013360000}"/>
    <cellStyle name="SAPBEXHLevel0X 53" xfId="13653" xr:uid="{00000000-0005-0000-0000-000014360000}"/>
    <cellStyle name="SAPBEXHLevel0X 54" xfId="13654" xr:uid="{00000000-0005-0000-0000-000015360000}"/>
    <cellStyle name="SAPBEXHLevel0X 55" xfId="13655" xr:uid="{00000000-0005-0000-0000-000016360000}"/>
    <cellStyle name="SAPBEXHLevel0X 56" xfId="13656" xr:uid="{00000000-0005-0000-0000-000017360000}"/>
    <cellStyle name="SAPBEXHLevel0X 57" xfId="13657" xr:uid="{00000000-0005-0000-0000-000018360000}"/>
    <cellStyle name="SAPBEXHLevel0X 58" xfId="13658" xr:uid="{00000000-0005-0000-0000-000019360000}"/>
    <cellStyle name="SAPBEXHLevel0X 59" xfId="13659" xr:uid="{00000000-0005-0000-0000-00001A360000}"/>
    <cellStyle name="SAPBEXHLevel0X 6" xfId="13660" xr:uid="{00000000-0005-0000-0000-00001B360000}"/>
    <cellStyle name="SAPBEXHLevel0X 6 10" xfId="13661" xr:uid="{00000000-0005-0000-0000-00001C360000}"/>
    <cellStyle name="SAPBEXHLevel0X 6 2" xfId="13662" xr:uid="{00000000-0005-0000-0000-00001D360000}"/>
    <cellStyle name="SAPBEXHLevel0X 6 2 2" xfId="13663" xr:uid="{00000000-0005-0000-0000-00001E360000}"/>
    <cellStyle name="SAPBEXHLevel0X 6 2 3" xfId="13664" xr:uid="{00000000-0005-0000-0000-00001F360000}"/>
    <cellStyle name="SAPBEXHLevel0X 6 2 4" xfId="13665" xr:uid="{00000000-0005-0000-0000-000020360000}"/>
    <cellStyle name="SAPBEXHLevel0X 6 2 5" xfId="27839" xr:uid="{00000000-0005-0000-0000-000021360000}"/>
    <cellStyle name="SAPBEXHLevel0X 6 3" xfId="13666" xr:uid="{00000000-0005-0000-0000-000022360000}"/>
    <cellStyle name="SAPBEXHLevel0X 6 3 2" xfId="13667" xr:uid="{00000000-0005-0000-0000-000023360000}"/>
    <cellStyle name="SAPBEXHLevel0X 6 3 3" xfId="13668" xr:uid="{00000000-0005-0000-0000-000024360000}"/>
    <cellStyle name="SAPBEXHLevel0X 6 3 4" xfId="13669" xr:uid="{00000000-0005-0000-0000-000025360000}"/>
    <cellStyle name="SAPBEXHLevel0X 6 4" xfId="13670" xr:uid="{00000000-0005-0000-0000-000026360000}"/>
    <cellStyle name="SAPBEXHLevel0X 6 4 2" xfId="13671" xr:uid="{00000000-0005-0000-0000-000027360000}"/>
    <cellStyle name="SAPBEXHLevel0X 6 4 3" xfId="13672" xr:uid="{00000000-0005-0000-0000-000028360000}"/>
    <cellStyle name="SAPBEXHLevel0X 6 4 4" xfId="13673" xr:uid="{00000000-0005-0000-0000-000029360000}"/>
    <cellStyle name="SAPBEXHLevel0X 6 5" xfId="13674" xr:uid="{00000000-0005-0000-0000-00002A360000}"/>
    <cellStyle name="SAPBEXHLevel0X 6 5 2" xfId="13675" xr:uid="{00000000-0005-0000-0000-00002B360000}"/>
    <cellStyle name="SAPBEXHLevel0X 6 5 3" xfId="13676" xr:uid="{00000000-0005-0000-0000-00002C360000}"/>
    <cellStyle name="SAPBEXHLevel0X 6 5 4" xfId="13677" xr:uid="{00000000-0005-0000-0000-00002D360000}"/>
    <cellStyle name="SAPBEXHLevel0X 6 6" xfId="13678" xr:uid="{00000000-0005-0000-0000-00002E360000}"/>
    <cellStyle name="SAPBEXHLevel0X 6 7" xfId="13679" xr:uid="{00000000-0005-0000-0000-00002F360000}"/>
    <cellStyle name="SAPBEXHLevel0X 6 8" xfId="13680" xr:uid="{00000000-0005-0000-0000-000030360000}"/>
    <cellStyle name="SAPBEXHLevel0X 6 9" xfId="13681" xr:uid="{00000000-0005-0000-0000-000031360000}"/>
    <cellStyle name="SAPBEXHLevel0X 60" xfId="13682" xr:uid="{00000000-0005-0000-0000-000032360000}"/>
    <cellStyle name="SAPBEXHLevel0X 61" xfId="13683" xr:uid="{00000000-0005-0000-0000-000033360000}"/>
    <cellStyle name="SAPBEXHLevel0X 62" xfId="13684" xr:uid="{00000000-0005-0000-0000-000034360000}"/>
    <cellStyle name="SAPBEXHLevel0X 63" xfId="13685" xr:uid="{00000000-0005-0000-0000-000035360000}"/>
    <cellStyle name="SAPBEXHLevel0X 64" xfId="13686" xr:uid="{00000000-0005-0000-0000-000036360000}"/>
    <cellStyle name="SAPBEXHLevel0X 65" xfId="13687" xr:uid="{00000000-0005-0000-0000-000037360000}"/>
    <cellStyle name="SAPBEXHLevel0X 66" xfId="13688" xr:uid="{00000000-0005-0000-0000-000038360000}"/>
    <cellStyle name="SAPBEXHLevel0X 67" xfId="13689" xr:uid="{00000000-0005-0000-0000-000039360000}"/>
    <cellStyle name="SAPBEXHLevel0X 68" xfId="13690" xr:uid="{00000000-0005-0000-0000-00003A360000}"/>
    <cellStyle name="SAPBEXHLevel0X 69" xfId="13691" xr:uid="{00000000-0005-0000-0000-00003B360000}"/>
    <cellStyle name="SAPBEXHLevel0X 7" xfId="13692" xr:uid="{00000000-0005-0000-0000-00003C360000}"/>
    <cellStyle name="SAPBEXHLevel0X 7 10" xfId="13693" xr:uid="{00000000-0005-0000-0000-00003D360000}"/>
    <cellStyle name="SAPBEXHLevel0X 7 2" xfId="13694" xr:uid="{00000000-0005-0000-0000-00003E360000}"/>
    <cellStyle name="SAPBEXHLevel0X 7 2 2" xfId="13695" xr:uid="{00000000-0005-0000-0000-00003F360000}"/>
    <cellStyle name="SAPBEXHLevel0X 7 2 3" xfId="13696" xr:uid="{00000000-0005-0000-0000-000040360000}"/>
    <cellStyle name="SAPBEXHLevel0X 7 2 4" xfId="13697" xr:uid="{00000000-0005-0000-0000-000041360000}"/>
    <cellStyle name="SAPBEXHLevel0X 7 2 5" xfId="27844" xr:uid="{00000000-0005-0000-0000-000042360000}"/>
    <cellStyle name="SAPBEXHLevel0X 7 3" xfId="13698" xr:uid="{00000000-0005-0000-0000-000043360000}"/>
    <cellStyle name="SAPBEXHLevel0X 7 3 2" xfId="13699" xr:uid="{00000000-0005-0000-0000-000044360000}"/>
    <cellStyle name="SAPBEXHLevel0X 7 3 3" xfId="13700" xr:uid="{00000000-0005-0000-0000-000045360000}"/>
    <cellStyle name="SAPBEXHLevel0X 7 3 4" xfId="13701" xr:uid="{00000000-0005-0000-0000-000046360000}"/>
    <cellStyle name="SAPBEXHLevel0X 7 4" xfId="13702" xr:uid="{00000000-0005-0000-0000-000047360000}"/>
    <cellStyle name="SAPBEXHLevel0X 7 4 2" xfId="13703" xr:uid="{00000000-0005-0000-0000-000048360000}"/>
    <cellStyle name="SAPBEXHLevel0X 7 4 3" xfId="13704" xr:uid="{00000000-0005-0000-0000-000049360000}"/>
    <cellStyle name="SAPBEXHLevel0X 7 4 4" xfId="13705" xr:uid="{00000000-0005-0000-0000-00004A360000}"/>
    <cellStyle name="SAPBEXHLevel0X 7 5" xfId="13706" xr:uid="{00000000-0005-0000-0000-00004B360000}"/>
    <cellStyle name="SAPBEXHLevel0X 7 5 2" xfId="13707" xr:uid="{00000000-0005-0000-0000-00004C360000}"/>
    <cellStyle name="SAPBEXHLevel0X 7 5 3" xfId="13708" xr:uid="{00000000-0005-0000-0000-00004D360000}"/>
    <cellStyle name="SAPBEXHLevel0X 7 5 4" xfId="13709" xr:uid="{00000000-0005-0000-0000-00004E360000}"/>
    <cellStyle name="SAPBEXHLevel0X 7 6" xfId="13710" xr:uid="{00000000-0005-0000-0000-00004F360000}"/>
    <cellStyle name="SAPBEXHLevel0X 7 7" xfId="13711" xr:uid="{00000000-0005-0000-0000-000050360000}"/>
    <cellStyle name="SAPBEXHLevel0X 7 8" xfId="13712" xr:uid="{00000000-0005-0000-0000-000051360000}"/>
    <cellStyle name="SAPBEXHLevel0X 7 9" xfId="13713" xr:uid="{00000000-0005-0000-0000-000052360000}"/>
    <cellStyle name="SAPBEXHLevel0X 70" xfId="13714" xr:uid="{00000000-0005-0000-0000-000053360000}"/>
    <cellStyle name="SAPBEXHLevel0X 71" xfId="13715" xr:uid="{00000000-0005-0000-0000-000054360000}"/>
    <cellStyle name="SAPBEXHLevel0X 72" xfId="13716" xr:uid="{00000000-0005-0000-0000-000055360000}"/>
    <cellStyle name="SAPBEXHLevel0X 73" xfId="13717" xr:uid="{00000000-0005-0000-0000-000056360000}"/>
    <cellStyle name="SAPBEXHLevel0X 74" xfId="13718" xr:uid="{00000000-0005-0000-0000-000057360000}"/>
    <cellStyle name="SAPBEXHLevel0X 75" xfId="13719" xr:uid="{00000000-0005-0000-0000-000058360000}"/>
    <cellStyle name="SAPBEXHLevel0X 76" xfId="13720" xr:uid="{00000000-0005-0000-0000-000059360000}"/>
    <cellStyle name="SAPBEXHLevel0X 77" xfId="13721" xr:uid="{00000000-0005-0000-0000-00005A360000}"/>
    <cellStyle name="SAPBEXHLevel0X 78" xfId="13722" xr:uid="{00000000-0005-0000-0000-00005B360000}"/>
    <cellStyle name="SAPBEXHLevel0X 79" xfId="13723" xr:uid="{00000000-0005-0000-0000-00005C360000}"/>
    <cellStyle name="SAPBEXHLevel0X 8" xfId="13724" xr:uid="{00000000-0005-0000-0000-00005D360000}"/>
    <cellStyle name="SAPBEXHLevel0X 8 2" xfId="13725" xr:uid="{00000000-0005-0000-0000-00005E360000}"/>
    <cellStyle name="SAPBEXHLevel0X 8 3" xfId="13726" xr:uid="{00000000-0005-0000-0000-00005F360000}"/>
    <cellStyle name="SAPBEXHLevel0X 8 4" xfId="13727" xr:uid="{00000000-0005-0000-0000-000060360000}"/>
    <cellStyle name="SAPBEXHLevel0X 8 5" xfId="13728" xr:uid="{00000000-0005-0000-0000-000061360000}"/>
    <cellStyle name="SAPBEXHLevel0X 8 6" xfId="13729" xr:uid="{00000000-0005-0000-0000-000062360000}"/>
    <cellStyle name="SAPBEXHLevel0X 80" xfId="13730" xr:uid="{00000000-0005-0000-0000-000063360000}"/>
    <cellStyle name="SAPBEXHLevel0X 81" xfId="13731" xr:uid="{00000000-0005-0000-0000-000064360000}"/>
    <cellStyle name="SAPBEXHLevel0X 82" xfId="13732" xr:uid="{00000000-0005-0000-0000-000065360000}"/>
    <cellStyle name="SAPBEXHLevel0X 83" xfId="13733" xr:uid="{00000000-0005-0000-0000-000066360000}"/>
    <cellStyle name="SAPBEXHLevel0X 84" xfId="13734" xr:uid="{00000000-0005-0000-0000-000067360000}"/>
    <cellStyle name="SAPBEXHLevel0X 85" xfId="13735" xr:uid="{00000000-0005-0000-0000-000068360000}"/>
    <cellStyle name="SAPBEXHLevel0X 86" xfId="13736" xr:uid="{00000000-0005-0000-0000-000069360000}"/>
    <cellStyle name="SAPBEXHLevel0X 87" xfId="13737" xr:uid="{00000000-0005-0000-0000-00006A360000}"/>
    <cellStyle name="SAPBEXHLevel0X 88" xfId="13738" xr:uid="{00000000-0005-0000-0000-00006B360000}"/>
    <cellStyle name="SAPBEXHLevel0X 89" xfId="13739" xr:uid="{00000000-0005-0000-0000-00006C360000}"/>
    <cellStyle name="SAPBEXHLevel0X 9" xfId="13740" xr:uid="{00000000-0005-0000-0000-00006D360000}"/>
    <cellStyle name="SAPBEXHLevel0X 9 2" xfId="13741" xr:uid="{00000000-0005-0000-0000-00006E360000}"/>
    <cellStyle name="SAPBEXHLevel0X 9 3" xfId="13742" xr:uid="{00000000-0005-0000-0000-00006F360000}"/>
    <cellStyle name="SAPBEXHLevel0X 9 4" xfId="13743" xr:uid="{00000000-0005-0000-0000-000070360000}"/>
    <cellStyle name="SAPBEXHLevel0X 9 5" xfId="13744" xr:uid="{00000000-0005-0000-0000-000071360000}"/>
    <cellStyle name="SAPBEXHLevel0X 9 6" xfId="13745" xr:uid="{00000000-0005-0000-0000-000072360000}"/>
    <cellStyle name="SAPBEXHLevel0X 90" xfId="13746" xr:uid="{00000000-0005-0000-0000-000073360000}"/>
    <cellStyle name="SAPBEXHLevel0X 91" xfId="13747" xr:uid="{00000000-0005-0000-0000-000074360000}"/>
    <cellStyle name="SAPBEXHLevel0X 92" xfId="13748" xr:uid="{00000000-0005-0000-0000-000075360000}"/>
    <cellStyle name="SAPBEXHLevel0X 93" xfId="13749" xr:uid="{00000000-0005-0000-0000-000076360000}"/>
    <cellStyle name="SAPBEXHLevel0X 94" xfId="13750" xr:uid="{00000000-0005-0000-0000-000077360000}"/>
    <cellStyle name="SAPBEXHLevel0X 95" xfId="13751" xr:uid="{00000000-0005-0000-0000-000078360000}"/>
    <cellStyle name="SAPBEXHLevel0X 96" xfId="13752" xr:uid="{00000000-0005-0000-0000-000079360000}"/>
    <cellStyle name="SAPBEXHLevel0X 97" xfId="13753" xr:uid="{00000000-0005-0000-0000-00007A360000}"/>
    <cellStyle name="SAPBEXHLevel0X 98" xfId="13754" xr:uid="{00000000-0005-0000-0000-00007B360000}"/>
    <cellStyle name="SAPBEXHLevel0X 99" xfId="13755" xr:uid="{00000000-0005-0000-0000-00007C360000}"/>
    <cellStyle name="SAPBEXHLevel0X_2009 05 22 Cash flow (2009) (20)" xfId="13756" xr:uid="{00000000-0005-0000-0000-00007D360000}"/>
    <cellStyle name="SAPBEXHLevel1" xfId="13757" xr:uid="{00000000-0005-0000-0000-00007E360000}"/>
    <cellStyle name="SAPBEXHLevel1 10" xfId="13758" xr:uid="{00000000-0005-0000-0000-00007F360000}"/>
    <cellStyle name="SAPBEXHLevel1 10 2" xfId="13759" xr:uid="{00000000-0005-0000-0000-000080360000}"/>
    <cellStyle name="SAPBEXHLevel1 10 3" xfId="13760" xr:uid="{00000000-0005-0000-0000-000081360000}"/>
    <cellStyle name="SAPBEXHLevel1 10 4" xfId="13761" xr:uid="{00000000-0005-0000-0000-000082360000}"/>
    <cellStyle name="SAPBEXHLevel1 10 5" xfId="13762" xr:uid="{00000000-0005-0000-0000-000083360000}"/>
    <cellStyle name="SAPBEXHLevel1 10 6" xfId="13763" xr:uid="{00000000-0005-0000-0000-000084360000}"/>
    <cellStyle name="SAPBEXHLevel1 100" xfId="13764" xr:uid="{00000000-0005-0000-0000-000085360000}"/>
    <cellStyle name="SAPBEXHLevel1 101" xfId="13765" xr:uid="{00000000-0005-0000-0000-000086360000}"/>
    <cellStyle name="SAPBEXHLevel1 102" xfId="13766" xr:uid="{00000000-0005-0000-0000-000087360000}"/>
    <cellStyle name="SAPBEXHLevel1 103" xfId="13767" xr:uid="{00000000-0005-0000-0000-000088360000}"/>
    <cellStyle name="SAPBEXHLevel1 104" xfId="13768" xr:uid="{00000000-0005-0000-0000-000089360000}"/>
    <cellStyle name="SAPBEXHLevel1 105" xfId="13769" xr:uid="{00000000-0005-0000-0000-00008A360000}"/>
    <cellStyle name="SAPBEXHLevel1 106" xfId="13770" xr:uid="{00000000-0005-0000-0000-00008B360000}"/>
    <cellStyle name="SAPBEXHLevel1 107" xfId="13771" xr:uid="{00000000-0005-0000-0000-00008C360000}"/>
    <cellStyle name="SAPBEXHLevel1 108" xfId="13772" xr:uid="{00000000-0005-0000-0000-00008D360000}"/>
    <cellStyle name="SAPBEXHLevel1 109" xfId="13773" xr:uid="{00000000-0005-0000-0000-00008E360000}"/>
    <cellStyle name="SAPBEXHLevel1 11" xfId="13774" xr:uid="{00000000-0005-0000-0000-00008F360000}"/>
    <cellStyle name="SAPBEXHLevel1 11 2" xfId="13775" xr:uid="{00000000-0005-0000-0000-000090360000}"/>
    <cellStyle name="SAPBEXHLevel1 11 3" xfId="13776" xr:uid="{00000000-0005-0000-0000-000091360000}"/>
    <cellStyle name="SAPBEXHLevel1 11 4" xfId="13777" xr:uid="{00000000-0005-0000-0000-000092360000}"/>
    <cellStyle name="SAPBEXHLevel1 11 5" xfId="13778" xr:uid="{00000000-0005-0000-0000-000093360000}"/>
    <cellStyle name="SAPBEXHLevel1 11 6" xfId="13779" xr:uid="{00000000-0005-0000-0000-000094360000}"/>
    <cellStyle name="SAPBEXHLevel1 110" xfId="13780" xr:uid="{00000000-0005-0000-0000-000095360000}"/>
    <cellStyle name="SAPBEXHLevel1 111" xfId="13781" xr:uid="{00000000-0005-0000-0000-000096360000}"/>
    <cellStyle name="SAPBEXHLevel1 112" xfId="13782" xr:uid="{00000000-0005-0000-0000-000097360000}"/>
    <cellStyle name="SAPBEXHLevel1 113" xfId="13783" xr:uid="{00000000-0005-0000-0000-000098360000}"/>
    <cellStyle name="SAPBEXHLevel1 114" xfId="13784" xr:uid="{00000000-0005-0000-0000-000099360000}"/>
    <cellStyle name="SAPBEXHLevel1 115" xfId="13785" xr:uid="{00000000-0005-0000-0000-00009A360000}"/>
    <cellStyle name="SAPBEXHLevel1 116" xfId="13786" xr:uid="{00000000-0005-0000-0000-00009B360000}"/>
    <cellStyle name="SAPBEXHLevel1 117" xfId="13787" xr:uid="{00000000-0005-0000-0000-00009C360000}"/>
    <cellStyle name="SAPBEXHLevel1 118" xfId="13788" xr:uid="{00000000-0005-0000-0000-00009D360000}"/>
    <cellStyle name="SAPBEXHLevel1 119" xfId="13789" xr:uid="{00000000-0005-0000-0000-00009E360000}"/>
    <cellStyle name="SAPBEXHLevel1 12" xfId="13790" xr:uid="{00000000-0005-0000-0000-00009F360000}"/>
    <cellStyle name="SAPBEXHLevel1 12 2" xfId="13791" xr:uid="{00000000-0005-0000-0000-0000A0360000}"/>
    <cellStyle name="SAPBEXHLevel1 12 3" xfId="13792" xr:uid="{00000000-0005-0000-0000-0000A1360000}"/>
    <cellStyle name="SAPBEXHLevel1 12 4" xfId="13793" xr:uid="{00000000-0005-0000-0000-0000A2360000}"/>
    <cellStyle name="SAPBEXHLevel1 12 5" xfId="13794" xr:uid="{00000000-0005-0000-0000-0000A3360000}"/>
    <cellStyle name="SAPBEXHLevel1 12 6" xfId="13795" xr:uid="{00000000-0005-0000-0000-0000A4360000}"/>
    <cellStyle name="SAPBEXHLevel1 120" xfId="13796" xr:uid="{00000000-0005-0000-0000-0000A5360000}"/>
    <cellStyle name="SAPBEXHLevel1 121" xfId="13797" xr:uid="{00000000-0005-0000-0000-0000A6360000}"/>
    <cellStyle name="SAPBEXHLevel1 122" xfId="13798" xr:uid="{00000000-0005-0000-0000-0000A7360000}"/>
    <cellStyle name="SAPBEXHLevel1 123" xfId="13799" xr:uid="{00000000-0005-0000-0000-0000A8360000}"/>
    <cellStyle name="SAPBEXHLevel1 124" xfId="13800" xr:uid="{00000000-0005-0000-0000-0000A9360000}"/>
    <cellStyle name="SAPBEXHLevel1 125" xfId="13801" xr:uid="{00000000-0005-0000-0000-0000AA360000}"/>
    <cellStyle name="SAPBEXHLevel1 126" xfId="13802" xr:uid="{00000000-0005-0000-0000-0000AB360000}"/>
    <cellStyle name="SAPBEXHLevel1 127" xfId="13803" xr:uid="{00000000-0005-0000-0000-0000AC360000}"/>
    <cellStyle name="SAPBEXHLevel1 128" xfId="13804" xr:uid="{00000000-0005-0000-0000-0000AD360000}"/>
    <cellStyle name="SAPBEXHLevel1 129" xfId="13805" xr:uid="{00000000-0005-0000-0000-0000AE360000}"/>
    <cellStyle name="SAPBEXHLevel1 13" xfId="13806" xr:uid="{00000000-0005-0000-0000-0000AF360000}"/>
    <cellStyle name="SAPBEXHLevel1 13 2" xfId="13807" xr:uid="{00000000-0005-0000-0000-0000B0360000}"/>
    <cellStyle name="SAPBEXHLevel1 13 3" xfId="13808" xr:uid="{00000000-0005-0000-0000-0000B1360000}"/>
    <cellStyle name="SAPBEXHLevel1 13 4" xfId="13809" xr:uid="{00000000-0005-0000-0000-0000B2360000}"/>
    <cellStyle name="SAPBEXHLevel1 13 5" xfId="13810" xr:uid="{00000000-0005-0000-0000-0000B3360000}"/>
    <cellStyle name="SAPBEXHLevel1 13 6" xfId="13811" xr:uid="{00000000-0005-0000-0000-0000B4360000}"/>
    <cellStyle name="SAPBEXHLevel1 130" xfId="13812" xr:uid="{00000000-0005-0000-0000-0000B5360000}"/>
    <cellStyle name="SAPBEXHLevel1 131" xfId="13813" xr:uid="{00000000-0005-0000-0000-0000B6360000}"/>
    <cellStyle name="SAPBEXHLevel1 132" xfId="13814" xr:uid="{00000000-0005-0000-0000-0000B7360000}"/>
    <cellStyle name="SAPBEXHLevel1 133" xfId="13815" xr:uid="{00000000-0005-0000-0000-0000B8360000}"/>
    <cellStyle name="SAPBEXHLevel1 134" xfId="13816" xr:uid="{00000000-0005-0000-0000-0000B9360000}"/>
    <cellStyle name="SAPBEXHLevel1 135" xfId="13817" xr:uid="{00000000-0005-0000-0000-0000BA360000}"/>
    <cellStyle name="SAPBEXHLevel1 136" xfId="13818" xr:uid="{00000000-0005-0000-0000-0000BB360000}"/>
    <cellStyle name="SAPBEXHLevel1 137" xfId="13819" xr:uid="{00000000-0005-0000-0000-0000BC360000}"/>
    <cellStyle name="SAPBEXHLevel1 138" xfId="13820" xr:uid="{00000000-0005-0000-0000-0000BD360000}"/>
    <cellStyle name="SAPBEXHLevel1 139" xfId="13821" xr:uid="{00000000-0005-0000-0000-0000BE360000}"/>
    <cellStyle name="SAPBEXHLevel1 14" xfId="13822" xr:uid="{00000000-0005-0000-0000-0000BF360000}"/>
    <cellStyle name="SAPBEXHLevel1 14 2" xfId="13823" xr:uid="{00000000-0005-0000-0000-0000C0360000}"/>
    <cellStyle name="SAPBEXHLevel1 14 3" xfId="13824" xr:uid="{00000000-0005-0000-0000-0000C1360000}"/>
    <cellStyle name="SAPBEXHLevel1 14 4" xfId="13825" xr:uid="{00000000-0005-0000-0000-0000C2360000}"/>
    <cellStyle name="SAPBEXHLevel1 14 5" xfId="13826" xr:uid="{00000000-0005-0000-0000-0000C3360000}"/>
    <cellStyle name="SAPBEXHLevel1 14 6" xfId="13827" xr:uid="{00000000-0005-0000-0000-0000C4360000}"/>
    <cellStyle name="SAPBEXHLevel1 140" xfId="13828" xr:uid="{00000000-0005-0000-0000-0000C5360000}"/>
    <cellStyle name="SAPBEXHLevel1 141" xfId="13829" xr:uid="{00000000-0005-0000-0000-0000C6360000}"/>
    <cellStyle name="SAPBEXHLevel1 142" xfId="13830" xr:uid="{00000000-0005-0000-0000-0000C7360000}"/>
    <cellStyle name="SAPBEXHLevel1 143" xfId="13831" xr:uid="{00000000-0005-0000-0000-0000C8360000}"/>
    <cellStyle name="SAPBEXHLevel1 144" xfId="13832" xr:uid="{00000000-0005-0000-0000-0000C9360000}"/>
    <cellStyle name="SAPBEXHLevel1 145" xfId="13833" xr:uid="{00000000-0005-0000-0000-0000CA360000}"/>
    <cellStyle name="SAPBEXHLevel1 146" xfId="13834" xr:uid="{00000000-0005-0000-0000-0000CB360000}"/>
    <cellStyle name="SAPBEXHLevel1 147" xfId="13835" xr:uid="{00000000-0005-0000-0000-0000CC360000}"/>
    <cellStyle name="SAPBEXHLevel1 148" xfId="13836" xr:uid="{00000000-0005-0000-0000-0000CD360000}"/>
    <cellStyle name="SAPBEXHLevel1 149" xfId="13837" xr:uid="{00000000-0005-0000-0000-0000CE360000}"/>
    <cellStyle name="SAPBEXHLevel1 15" xfId="13838" xr:uid="{00000000-0005-0000-0000-0000CF360000}"/>
    <cellStyle name="SAPBEXHLevel1 15 2" xfId="13839" xr:uid="{00000000-0005-0000-0000-0000D0360000}"/>
    <cellStyle name="SAPBEXHLevel1 15 3" xfId="13840" xr:uid="{00000000-0005-0000-0000-0000D1360000}"/>
    <cellStyle name="SAPBEXHLevel1 15 4" xfId="13841" xr:uid="{00000000-0005-0000-0000-0000D2360000}"/>
    <cellStyle name="SAPBEXHLevel1 15 5" xfId="13842" xr:uid="{00000000-0005-0000-0000-0000D3360000}"/>
    <cellStyle name="SAPBEXHLevel1 15 6" xfId="13843" xr:uid="{00000000-0005-0000-0000-0000D4360000}"/>
    <cellStyle name="SAPBEXHLevel1 150" xfId="13844" xr:uid="{00000000-0005-0000-0000-0000D5360000}"/>
    <cellStyle name="SAPBEXHLevel1 151" xfId="13845" xr:uid="{00000000-0005-0000-0000-0000D6360000}"/>
    <cellStyle name="SAPBEXHLevel1 152" xfId="13846" xr:uid="{00000000-0005-0000-0000-0000D7360000}"/>
    <cellStyle name="SAPBEXHLevel1 153" xfId="13847" xr:uid="{00000000-0005-0000-0000-0000D8360000}"/>
    <cellStyle name="SAPBEXHLevel1 154" xfId="13848" xr:uid="{00000000-0005-0000-0000-0000D9360000}"/>
    <cellStyle name="SAPBEXHLevel1 155" xfId="13849" xr:uid="{00000000-0005-0000-0000-0000DA360000}"/>
    <cellStyle name="SAPBEXHLevel1 156" xfId="13850" xr:uid="{00000000-0005-0000-0000-0000DB360000}"/>
    <cellStyle name="SAPBEXHLevel1 157" xfId="13851" xr:uid="{00000000-0005-0000-0000-0000DC360000}"/>
    <cellStyle name="SAPBEXHLevel1 158" xfId="13852" xr:uid="{00000000-0005-0000-0000-0000DD360000}"/>
    <cellStyle name="SAPBEXHLevel1 159" xfId="13853" xr:uid="{00000000-0005-0000-0000-0000DE360000}"/>
    <cellStyle name="SAPBEXHLevel1 16" xfId="13854" xr:uid="{00000000-0005-0000-0000-0000DF360000}"/>
    <cellStyle name="SAPBEXHLevel1 16 2" xfId="13855" xr:uid="{00000000-0005-0000-0000-0000E0360000}"/>
    <cellStyle name="SAPBEXHLevel1 16 3" xfId="13856" xr:uid="{00000000-0005-0000-0000-0000E1360000}"/>
    <cellStyle name="SAPBEXHLevel1 16 4" xfId="13857" xr:uid="{00000000-0005-0000-0000-0000E2360000}"/>
    <cellStyle name="SAPBEXHLevel1 16 5" xfId="13858" xr:uid="{00000000-0005-0000-0000-0000E3360000}"/>
    <cellStyle name="SAPBEXHLevel1 16 6" xfId="13859" xr:uid="{00000000-0005-0000-0000-0000E4360000}"/>
    <cellStyle name="SAPBEXHLevel1 160" xfId="13860" xr:uid="{00000000-0005-0000-0000-0000E5360000}"/>
    <cellStyle name="SAPBEXHLevel1 161" xfId="13861" xr:uid="{00000000-0005-0000-0000-0000E6360000}"/>
    <cellStyle name="SAPBEXHLevel1 162" xfId="13862" xr:uid="{00000000-0005-0000-0000-0000E7360000}"/>
    <cellStyle name="SAPBEXHLevel1 163" xfId="13863" xr:uid="{00000000-0005-0000-0000-0000E8360000}"/>
    <cellStyle name="SAPBEXHLevel1 164" xfId="13864" xr:uid="{00000000-0005-0000-0000-0000E9360000}"/>
    <cellStyle name="SAPBEXHLevel1 165" xfId="13865" xr:uid="{00000000-0005-0000-0000-0000EA360000}"/>
    <cellStyle name="SAPBEXHLevel1 166" xfId="13866" xr:uid="{00000000-0005-0000-0000-0000EB360000}"/>
    <cellStyle name="SAPBEXHLevel1 167" xfId="13867" xr:uid="{00000000-0005-0000-0000-0000EC360000}"/>
    <cellStyle name="SAPBEXHLevel1 168" xfId="13868" xr:uid="{00000000-0005-0000-0000-0000ED360000}"/>
    <cellStyle name="SAPBEXHLevel1 169" xfId="13869" xr:uid="{00000000-0005-0000-0000-0000EE360000}"/>
    <cellStyle name="SAPBEXHLevel1 17" xfId="13870" xr:uid="{00000000-0005-0000-0000-0000EF360000}"/>
    <cellStyle name="SAPBEXHLevel1 17 2" xfId="13871" xr:uid="{00000000-0005-0000-0000-0000F0360000}"/>
    <cellStyle name="SAPBEXHLevel1 17 3" xfId="13872" xr:uid="{00000000-0005-0000-0000-0000F1360000}"/>
    <cellStyle name="SAPBEXHLevel1 17 4" xfId="13873" xr:uid="{00000000-0005-0000-0000-0000F2360000}"/>
    <cellStyle name="SAPBEXHLevel1 17 5" xfId="13874" xr:uid="{00000000-0005-0000-0000-0000F3360000}"/>
    <cellStyle name="SAPBEXHLevel1 17 6" xfId="13875" xr:uid="{00000000-0005-0000-0000-0000F4360000}"/>
    <cellStyle name="SAPBEXHLevel1 170" xfId="13876" xr:uid="{00000000-0005-0000-0000-0000F5360000}"/>
    <cellStyle name="SAPBEXHLevel1 171" xfId="13877" xr:uid="{00000000-0005-0000-0000-0000F6360000}"/>
    <cellStyle name="SAPBEXHLevel1 172" xfId="13878" xr:uid="{00000000-0005-0000-0000-0000F7360000}"/>
    <cellStyle name="SAPBEXHLevel1 173" xfId="13879" xr:uid="{00000000-0005-0000-0000-0000F8360000}"/>
    <cellStyle name="SAPBEXHLevel1 174" xfId="27813" xr:uid="{00000000-0005-0000-0000-0000F9360000}"/>
    <cellStyle name="SAPBEXHLevel1 175" xfId="27924" xr:uid="{00000000-0005-0000-0000-0000FA360000}"/>
    <cellStyle name="SAPBEXHLevel1 176" xfId="27983" xr:uid="{00000000-0005-0000-0000-0000FB360000}"/>
    <cellStyle name="SAPBEXHLevel1 177" xfId="28024" xr:uid="{00000000-0005-0000-0000-0000FC360000}"/>
    <cellStyle name="SAPBEXHLevel1 178" xfId="28157" xr:uid="{00000000-0005-0000-0000-0000FD360000}"/>
    <cellStyle name="SAPBEXHLevel1 18" xfId="13880" xr:uid="{00000000-0005-0000-0000-0000FE360000}"/>
    <cellStyle name="SAPBEXHLevel1 18 2" xfId="13881" xr:uid="{00000000-0005-0000-0000-0000FF360000}"/>
    <cellStyle name="SAPBEXHLevel1 18 3" xfId="13882" xr:uid="{00000000-0005-0000-0000-000000370000}"/>
    <cellStyle name="SAPBEXHLevel1 18 4" xfId="13883" xr:uid="{00000000-0005-0000-0000-000001370000}"/>
    <cellStyle name="SAPBEXHLevel1 18 5" xfId="13884" xr:uid="{00000000-0005-0000-0000-000002370000}"/>
    <cellStyle name="SAPBEXHLevel1 18 6" xfId="13885" xr:uid="{00000000-0005-0000-0000-000003370000}"/>
    <cellStyle name="SAPBEXHLevel1 19" xfId="13886" xr:uid="{00000000-0005-0000-0000-000004370000}"/>
    <cellStyle name="SAPBEXHLevel1 19 2" xfId="13887" xr:uid="{00000000-0005-0000-0000-000005370000}"/>
    <cellStyle name="SAPBEXHLevel1 19 3" xfId="13888" xr:uid="{00000000-0005-0000-0000-000006370000}"/>
    <cellStyle name="SAPBEXHLevel1 19 4" xfId="13889" xr:uid="{00000000-0005-0000-0000-000007370000}"/>
    <cellStyle name="SAPBEXHLevel1 19 5" xfId="13890" xr:uid="{00000000-0005-0000-0000-000008370000}"/>
    <cellStyle name="SAPBEXHLevel1 19 6" xfId="13891" xr:uid="{00000000-0005-0000-0000-000009370000}"/>
    <cellStyle name="SAPBEXHLevel1 2" xfId="13892" xr:uid="{00000000-0005-0000-0000-00000A370000}"/>
    <cellStyle name="SAPBEXHLevel1 2 10" xfId="13893" xr:uid="{00000000-0005-0000-0000-00000B370000}"/>
    <cellStyle name="SAPBEXHLevel1 2 10 2" xfId="13894" xr:uid="{00000000-0005-0000-0000-00000C370000}"/>
    <cellStyle name="SAPBEXHLevel1 2 10 3" xfId="13895" xr:uid="{00000000-0005-0000-0000-00000D370000}"/>
    <cellStyle name="SAPBEXHLevel1 2 10 4" xfId="13896" xr:uid="{00000000-0005-0000-0000-00000E370000}"/>
    <cellStyle name="SAPBEXHLevel1 2 11" xfId="13897" xr:uid="{00000000-0005-0000-0000-00000F370000}"/>
    <cellStyle name="SAPBEXHLevel1 2 11 2" xfId="13898" xr:uid="{00000000-0005-0000-0000-000010370000}"/>
    <cellStyle name="SAPBEXHLevel1 2 11 3" xfId="13899" xr:uid="{00000000-0005-0000-0000-000011370000}"/>
    <cellStyle name="SAPBEXHLevel1 2 11 4" xfId="13900" xr:uid="{00000000-0005-0000-0000-000012370000}"/>
    <cellStyle name="SAPBEXHLevel1 2 12" xfId="13901" xr:uid="{00000000-0005-0000-0000-000013370000}"/>
    <cellStyle name="SAPBEXHLevel1 2 12 2" xfId="13902" xr:uid="{00000000-0005-0000-0000-000014370000}"/>
    <cellStyle name="SAPBEXHLevel1 2 12 3" xfId="13903" xr:uid="{00000000-0005-0000-0000-000015370000}"/>
    <cellStyle name="SAPBEXHLevel1 2 12 4" xfId="13904" xr:uid="{00000000-0005-0000-0000-000016370000}"/>
    <cellStyle name="SAPBEXHLevel1 2 13" xfId="13905" xr:uid="{00000000-0005-0000-0000-000017370000}"/>
    <cellStyle name="SAPBEXHLevel1 2 13 2" xfId="13906" xr:uid="{00000000-0005-0000-0000-000018370000}"/>
    <cellStyle name="SAPBEXHLevel1 2 13 3" xfId="13907" xr:uid="{00000000-0005-0000-0000-000019370000}"/>
    <cellStyle name="SAPBEXHLevel1 2 13 4" xfId="13908" xr:uid="{00000000-0005-0000-0000-00001A370000}"/>
    <cellStyle name="SAPBEXHLevel1 2 14" xfId="13909" xr:uid="{00000000-0005-0000-0000-00001B370000}"/>
    <cellStyle name="SAPBEXHLevel1 2 15" xfId="13910" xr:uid="{00000000-0005-0000-0000-00001C370000}"/>
    <cellStyle name="SAPBEXHLevel1 2 16" xfId="13911" xr:uid="{00000000-0005-0000-0000-00001D370000}"/>
    <cellStyle name="SAPBEXHLevel1 2 17" xfId="13912" xr:uid="{00000000-0005-0000-0000-00001E370000}"/>
    <cellStyle name="SAPBEXHLevel1 2 18" xfId="13913" xr:uid="{00000000-0005-0000-0000-00001F370000}"/>
    <cellStyle name="SAPBEXHLevel1 2 2" xfId="13914" xr:uid="{00000000-0005-0000-0000-000020370000}"/>
    <cellStyle name="SAPBEXHLevel1 2 2 2" xfId="13915" xr:uid="{00000000-0005-0000-0000-000021370000}"/>
    <cellStyle name="SAPBEXHLevel1 2 2 2 2" xfId="13916" xr:uid="{00000000-0005-0000-0000-000022370000}"/>
    <cellStyle name="SAPBEXHLevel1 2 2 2 3" xfId="13917" xr:uid="{00000000-0005-0000-0000-000023370000}"/>
    <cellStyle name="SAPBEXHLevel1 2 2 2 4" xfId="13918" xr:uid="{00000000-0005-0000-0000-000024370000}"/>
    <cellStyle name="SAPBEXHLevel1 2 2 2 5" xfId="13919" xr:uid="{00000000-0005-0000-0000-000025370000}"/>
    <cellStyle name="SAPBEXHLevel1 2 2 2 6" xfId="13920" xr:uid="{00000000-0005-0000-0000-000026370000}"/>
    <cellStyle name="SAPBEXHLevel1 2 2 3" xfId="13921" xr:uid="{00000000-0005-0000-0000-000027370000}"/>
    <cellStyle name="SAPBEXHLevel1 2 2 3 2" xfId="13922" xr:uid="{00000000-0005-0000-0000-000028370000}"/>
    <cellStyle name="SAPBEXHLevel1 2 2 3 3" xfId="13923" xr:uid="{00000000-0005-0000-0000-000029370000}"/>
    <cellStyle name="SAPBEXHLevel1 2 2 3 4" xfId="13924" xr:uid="{00000000-0005-0000-0000-00002A370000}"/>
    <cellStyle name="SAPBEXHLevel1 2 2 3 5" xfId="13925" xr:uid="{00000000-0005-0000-0000-00002B370000}"/>
    <cellStyle name="SAPBEXHLevel1 2 2 3 6" xfId="13926" xr:uid="{00000000-0005-0000-0000-00002C370000}"/>
    <cellStyle name="SAPBEXHLevel1 2 2 4" xfId="13927" xr:uid="{00000000-0005-0000-0000-00002D370000}"/>
    <cellStyle name="SAPBEXHLevel1 2 2 4 2" xfId="13928" xr:uid="{00000000-0005-0000-0000-00002E370000}"/>
    <cellStyle name="SAPBEXHLevel1 2 2 4 3" xfId="13929" xr:uid="{00000000-0005-0000-0000-00002F370000}"/>
    <cellStyle name="SAPBEXHLevel1 2 2 4 4" xfId="13930" xr:uid="{00000000-0005-0000-0000-000030370000}"/>
    <cellStyle name="SAPBEXHLevel1 2 2 4 5" xfId="13931" xr:uid="{00000000-0005-0000-0000-000031370000}"/>
    <cellStyle name="SAPBEXHLevel1 2 2 4 6" xfId="13932" xr:uid="{00000000-0005-0000-0000-000032370000}"/>
    <cellStyle name="SAPBEXHLevel1 2 2 5" xfId="13933" xr:uid="{00000000-0005-0000-0000-000033370000}"/>
    <cellStyle name="SAPBEXHLevel1 2 2 5 2" xfId="13934" xr:uid="{00000000-0005-0000-0000-000034370000}"/>
    <cellStyle name="SAPBEXHLevel1 2 2 5 3" xfId="13935" xr:uid="{00000000-0005-0000-0000-000035370000}"/>
    <cellStyle name="SAPBEXHLevel1 2 2 5 4" xfId="13936" xr:uid="{00000000-0005-0000-0000-000036370000}"/>
    <cellStyle name="SAPBEXHLevel1 2 2 5 5" xfId="13937" xr:uid="{00000000-0005-0000-0000-000037370000}"/>
    <cellStyle name="SAPBEXHLevel1 2 2 5 6" xfId="13938" xr:uid="{00000000-0005-0000-0000-000038370000}"/>
    <cellStyle name="SAPBEXHLevel1 2 2 6" xfId="13939" xr:uid="{00000000-0005-0000-0000-000039370000}"/>
    <cellStyle name="SAPBEXHLevel1 2 2 7" xfId="13940" xr:uid="{00000000-0005-0000-0000-00003A370000}"/>
    <cellStyle name="SAPBEXHLevel1 2 2 8" xfId="13941" xr:uid="{00000000-0005-0000-0000-00003B370000}"/>
    <cellStyle name="SAPBEXHLevel1 2 3" xfId="13942" xr:uid="{00000000-0005-0000-0000-00003C370000}"/>
    <cellStyle name="SAPBEXHLevel1 2 3 2" xfId="13943" xr:uid="{00000000-0005-0000-0000-00003D370000}"/>
    <cellStyle name="SAPBEXHLevel1 2 3 2 2" xfId="13944" xr:uid="{00000000-0005-0000-0000-00003E370000}"/>
    <cellStyle name="SAPBEXHLevel1 2 3 2 3" xfId="13945" xr:uid="{00000000-0005-0000-0000-00003F370000}"/>
    <cellStyle name="SAPBEXHLevel1 2 3 2 4" xfId="13946" xr:uid="{00000000-0005-0000-0000-000040370000}"/>
    <cellStyle name="SAPBEXHLevel1 2 3 2 5" xfId="13947" xr:uid="{00000000-0005-0000-0000-000041370000}"/>
    <cellStyle name="SAPBEXHLevel1 2 3 2 6" xfId="13948" xr:uid="{00000000-0005-0000-0000-000042370000}"/>
    <cellStyle name="SAPBEXHLevel1 2 3 3" xfId="13949" xr:uid="{00000000-0005-0000-0000-000043370000}"/>
    <cellStyle name="SAPBEXHLevel1 2 3 3 2" xfId="13950" xr:uid="{00000000-0005-0000-0000-000044370000}"/>
    <cellStyle name="SAPBEXHLevel1 2 3 3 3" xfId="13951" xr:uid="{00000000-0005-0000-0000-000045370000}"/>
    <cellStyle name="SAPBEXHLevel1 2 3 3 4" xfId="13952" xr:uid="{00000000-0005-0000-0000-000046370000}"/>
    <cellStyle name="SAPBEXHLevel1 2 3 3 5" xfId="13953" xr:uid="{00000000-0005-0000-0000-000047370000}"/>
    <cellStyle name="SAPBEXHLevel1 2 3 3 6" xfId="13954" xr:uid="{00000000-0005-0000-0000-000048370000}"/>
    <cellStyle name="SAPBEXHLevel1 2 3 4" xfId="13955" xr:uid="{00000000-0005-0000-0000-000049370000}"/>
    <cellStyle name="SAPBEXHLevel1 2 3 4 2" xfId="13956" xr:uid="{00000000-0005-0000-0000-00004A370000}"/>
    <cellStyle name="SAPBEXHLevel1 2 3 4 3" xfId="13957" xr:uid="{00000000-0005-0000-0000-00004B370000}"/>
    <cellStyle name="SAPBEXHLevel1 2 3 4 4" xfId="13958" xr:uid="{00000000-0005-0000-0000-00004C370000}"/>
    <cellStyle name="SAPBEXHLevel1 2 3 4 5" xfId="13959" xr:uid="{00000000-0005-0000-0000-00004D370000}"/>
    <cellStyle name="SAPBEXHLevel1 2 3 4 6" xfId="13960" xr:uid="{00000000-0005-0000-0000-00004E370000}"/>
    <cellStyle name="SAPBEXHLevel1 2 3 5" xfId="13961" xr:uid="{00000000-0005-0000-0000-00004F370000}"/>
    <cellStyle name="SAPBEXHLevel1 2 3 5 2" xfId="13962" xr:uid="{00000000-0005-0000-0000-000050370000}"/>
    <cellStyle name="SAPBEXHLevel1 2 3 5 3" xfId="13963" xr:uid="{00000000-0005-0000-0000-000051370000}"/>
    <cellStyle name="SAPBEXHLevel1 2 3 5 4" xfId="13964" xr:uid="{00000000-0005-0000-0000-000052370000}"/>
    <cellStyle name="SAPBEXHLevel1 2 3 5 5" xfId="13965" xr:uid="{00000000-0005-0000-0000-000053370000}"/>
    <cellStyle name="SAPBEXHLevel1 2 3 5 6" xfId="13966" xr:uid="{00000000-0005-0000-0000-000054370000}"/>
    <cellStyle name="SAPBEXHLevel1 2 3 6" xfId="13967" xr:uid="{00000000-0005-0000-0000-000055370000}"/>
    <cellStyle name="SAPBEXHLevel1 2 3 7" xfId="13968" xr:uid="{00000000-0005-0000-0000-000056370000}"/>
    <cellStyle name="SAPBEXHLevel1 2 3 8" xfId="13969" xr:uid="{00000000-0005-0000-0000-000057370000}"/>
    <cellStyle name="SAPBEXHLevel1 2 4" xfId="13970" xr:uid="{00000000-0005-0000-0000-000058370000}"/>
    <cellStyle name="SAPBEXHLevel1 2 4 2" xfId="13971" xr:uid="{00000000-0005-0000-0000-000059370000}"/>
    <cellStyle name="SAPBEXHLevel1 2 4 2 2" xfId="13972" xr:uid="{00000000-0005-0000-0000-00005A370000}"/>
    <cellStyle name="SAPBEXHLevel1 2 4 2 3" xfId="13973" xr:uid="{00000000-0005-0000-0000-00005B370000}"/>
    <cellStyle name="SAPBEXHLevel1 2 4 2 4" xfId="13974" xr:uid="{00000000-0005-0000-0000-00005C370000}"/>
    <cellStyle name="SAPBEXHLevel1 2 4 2 5" xfId="13975" xr:uid="{00000000-0005-0000-0000-00005D370000}"/>
    <cellStyle name="SAPBEXHLevel1 2 4 2 6" xfId="13976" xr:uid="{00000000-0005-0000-0000-00005E370000}"/>
    <cellStyle name="SAPBEXHLevel1 2 4 3" xfId="13977" xr:uid="{00000000-0005-0000-0000-00005F370000}"/>
    <cellStyle name="SAPBEXHLevel1 2 4 3 2" xfId="13978" xr:uid="{00000000-0005-0000-0000-000060370000}"/>
    <cellStyle name="SAPBEXHLevel1 2 4 3 3" xfId="13979" xr:uid="{00000000-0005-0000-0000-000061370000}"/>
    <cellStyle name="SAPBEXHLevel1 2 4 3 4" xfId="13980" xr:uid="{00000000-0005-0000-0000-000062370000}"/>
    <cellStyle name="SAPBEXHLevel1 2 4 3 5" xfId="13981" xr:uid="{00000000-0005-0000-0000-000063370000}"/>
    <cellStyle name="SAPBEXHLevel1 2 4 3 6" xfId="13982" xr:uid="{00000000-0005-0000-0000-000064370000}"/>
    <cellStyle name="SAPBEXHLevel1 2 4 4" xfId="13983" xr:uid="{00000000-0005-0000-0000-000065370000}"/>
    <cellStyle name="SAPBEXHLevel1 2 4 4 2" xfId="13984" xr:uid="{00000000-0005-0000-0000-000066370000}"/>
    <cellStyle name="SAPBEXHLevel1 2 4 4 3" xfId="13985" xr:uid="{00000000-0005-0000-0000-000067370000}"/>
    <cellStyle name="SAPBEXHLevel1 2 4 4 4" xfId="13986" xr:uid="{00000000-0005-0000-0000-000068370000}"/>
    <cellStyle name="SAPBEXHLevel1 2 4 4 5" xfId="13987" xr:uid="{00000000-0005-0000-0000-000069370000}"/>
    <cellStyle name="SAPBEXHLevel1 2 4 4 6" xfId="13988" xr:uid="{00000000-0005-0000-0000-00006A370000}"/>
    <cellStyle name="SAPBEXHLevel1 2 4 5" xfId="13989" xr:uid="{00000000-0005-0000-0000-00006B370000}"/>
    <cellStyle name="SAPBEXHLevel1 2 4 5 2" xfId="13990" xr:uid="{00000000-0005-0000-0000-00006C370000}"/>
    <cellStyle name="SAPBEXHLevel1 2 4 5 3" xfId="13991" xr:uid="{00000000-0005-0000-0000-00006D370000}"/>
    <cellStyle name="SAPBEXHLevel1 2 4 5 4" xfId="13992" xr:uid="{00000000-0005-0000-0000-00006E370000}"/>
    <cellStyle name="SAPBEXHLevel1 2 4 5 5" xfId="13993" xr:uid="{00000000-0005-0000-0000-00006F370000}"/>
    <cellStyle name="SAPBEXHLevel1 2 4 5 6" xfId="13994" xr:uid="{00000000-0005-0000-0000-000070370000}"/>
    <cellStyle name="SAPBEXHLevel1 2 4 6" xfId="13995" xr:uid="{00000000-0005-0000-0000-000071370000}"/>
    <cellStyle name="SAPBEXHLevel1 2 4 7" xfId="13996" xr:uid="{00000000-0005-0000-0000-000072370000}"/>
    <cellStyle name="SAPBEXHLevel1 2 4 8" xfId="13997" xr:uid="{00000000-0005-0000-0000-000073370000}"/>
    <cellStyle name="SAPBEXHLevel1 2 5" xfId="13998" xr:uid="{00000000-0005-0000-0000-000074370000}"/>
    <cellStyle name="SAPBEXHLevel1 2 5 2" xfId="13999" xr:uid="{00000000-0005-0000-0000-000075370000}"/>
    <cellStyle name="SAPBEXHLevel1 2 5 3" xfId="14000" xr:uid="{00000000-0005-0000-0000-000076370000}"/>
    <cellStyle name="SAPBEXHLevel1 2 5 4" xfId="14001" xr:uid="{00000000-0005-0000-0000-000077370000}"/>
    <cellStyle name="SAPBEXHLevel1 2 6" xfId="14002" xr:uid="{00000000-0005-0000-0000-000078370000}"/>
    <cellStyle name="SAPBEXHLevel1 2 6 2" xfId="14003" xr:uid="{00000000-0005-0000-0000-000079370000}"/>
    <cellStyle name="SAPBEXHLevel1 2 6 3" xfId="14004" xr:uid="{00000000-0005-0000-0000-00007A370000}"/>
    <cellStyle name="SAPBEXHLevel1 2 6 4" xfId="14005" xr:uid="{00000000-0005-0000-0000-00007B370000}"/>
    <cellStyle name="SAPBEXHLevel1 2 7" xfId="14006" xr:uid="{00000000-0005-0000-0000-00007C370000}"/>
    <cellStyle name="SAPBEXHLevel1 2 7 2" xfId="14007" xr:uid="{00000000-0005-0000-0000-00007D370000}"/>
    <cellStyle name="SAPBEXHLevel1 2 7 3" xfId="14008" xr:uid="{00000000-0005-0000-0000-00007E370000}"/>
    <cellStyle name="SAPBEXHLevel1 2 7 4" xfId="14009" xr:uid="{00000000-0005-0000-0000-00007F370000}"/>
    <cellStyle name="SAPBEXHLevel1 2 8" xfId="14010" xr:uid="{00000000-0005-0000-0000-000080370000}"/>
    <cellStyle name="SAPBEXHLevel1 2 8 2" xfId="14011" xr:uid="{00000000-0005-0000-0000-000081370000}"/>
    <cellStyle name="SAPBEXHLevel1 2 8 3" xfId="14012" xr:uid="{00000000-0005-0000-0000-000082370000}"/>
    <cellStyle name="SAPBEXHLevel1 2 8 4" xfId="14013" xr:uid="{00000000-0005-0000-0000-000083370000}"/>
    <cellStyle name="SAPBEXHLevel1 2 9" xfId="14014" xr:uid="{00000000-0005-0000-0000-000084370000}"/>
    <cellStyle name="SAPBEXHLevel1 2 9 2" xfId="14015" xr:uid="{00000000-0005-0000-0000-000085370000}"/>
    <cellStyle name="SAPBEXHLevel1 2 9 3" xfId="14016" xr:uid="{00000000-0005-0000-0000-000086370000}"/>
    <cellStyle name="SAPBEXHLevel1 2 9 4" xfId="14017" xr:uid="{00000000-0005-0000-0000-000087370000}"/>
    <cellStyle name="SAPBEXHLevel1 2_2009 12 09 Cash flow (2009)" xfId="14018" xr:uid="{00000000-0005-0000-0000-000088370000}"/>
    <cellStyle name="SAPBEXHLevel1 20" xfId="14019" xr:uid="{00000000-0005-0000-0000-000089370000}"/>
    <cellStyle name="SAPBEXHLevel1 20 2" xfId="14020" xr:uid="{00000000-0005-0000-0000-00008A370000}"/>
    <cellStyle name="SAPBEXHLevel1 20 3" xfId="14021" xr:uid="{00000000-0005-0000-0000-00008B370000}"/>
    <cellStyle name="SAPBEXHLevel1 20 4" xfId="14022" xr:uid="{00000000-0005-0000-0000-00008C370000}"/>
    <cellStyle name="SAPBEXHLevel1 20 5" xfId="14023" xr:uid="{00000000-0005-0000-0000-00008D370000}"/>
    <cellStyle name="SAPBEXHLevel1 20 6" xfId="14024" xr:uid="{00000000-0005-0000-0000-00008E370000}"/>
    <cellStyle name="SAPBEXHLevel1 21" xfId="14025" xr:uid="{00000000-0005-0000-0000-00008F370000}"/>
    <cellStyle name="SAPBEXHLevel1 21 2" xfId="14026" xr:uid="{00000000-0005-0000-0000-000090370000}"/>
    <cellStyle name="SAPBEXHLevel1 21 3" xfId="14027" xr:uid="{00000000-0005-0000-0000-000091370000}"/>
    <cellStyle name="SAPBEXHLevel1 21 4" xfId="14028" xr:uid="{00000000-0005-0000-0000-000092370000}"/>
    <cellStyle name="SAPBEXHLevel1 21 5" xfId="14029" xr:uid="{00000000-0005-0000-0000-000093370000}"/>
    <cellStyle name="SAPBEXHLevel1 21 6" xfId="14030" xr:uid="{00000000-0005-0000-0000-000094370000}"/>
    <cellStyle name="SAPBEXHLevel1 22" xfId="14031" xr:uid="{00000000-0005-0000-0000-000095370000}"/>
    <cellStyle name="SAPBEXHLevel1 22 2" xfId="14032" xr:uid="{00000000-0005-0000-0000-000096370000}"/>
    <cellStyle name="SAPBEXHLevel1 22 3" xfId="14033" xr:uid="{00000000-0005-0000-0000-000097370000}"/>
    <cellStyle name="SAPBEXHLevel1 22 4" xfId="14034" xr:uid="{00000000-0005-0000-0000-000098370000}"/>
    <cellStyle name="SAPBEXHLevel1 22 5" xfId="14035" xr:uid="{00000000-0005-0000-0000-000099370000}"/>
    <cellStyle name="SAPBEXHLevel1 22 6" xfId="14036" xr:uid="{00000000-0005-0000-0000-00009A370000}"/>
    <cellStyle name="SAPBEXHLevel1 23" xfId="14037" xr:uid="{00000000-0005-0000-0000-00009B370000}"/>
    <cellStyle name="SAPBEXHLevel1 23 2" xfId="14038" xr:uid="{00000000-0005-0000-0000-00009C370000}"/>
    <cellStyle name="SAPBEXHLevel1 23 3" xfId="14039" xr:uid="{00000000-0005-0000-0000-00009D370000}"/>
    <cellStyle name="SAPBEXHLevel1 23 4" xfId="14040" xr:uid="{00000000-0005-0000-0000-00009E370000}"/>
    <cellStyle name="SAPBEXHLevel1 23 5" xfId="14041" xr:uid="{00000000-0005-0000-0000-00009F370000}"/>
    <cellStyle name="SAPBEXHLevel1 23 6" xfId="14042" xr:uid="{00000000-0005-0000-0000-0000A0370000}"/>
    <cellStyle name="SAPBEXHLevel1 24" xfId="14043" xr:uid="{00000000-0005-0000-0000-0000A1370000}"/>
    <cellStyle name="SAPBEXHLevel1 24 2" xfId="14044" xr:uid="{00000000-0005-0000-0000-0000A2370000}"/>
    <cellStyle name="SAPBEXHLevel1 24 3" xfId="14045" xr:uid="{00000000-0005-0000-0000-0000A3370000}"/>
    <cellStyle name="SAPBEXHLevel1 24 4" xfId="14046" xr:uid="{00000000-0005-0000-0000-0000A4370000}"/>
    <cellStyle name="SAPBEXHLevel1 24 5" xfId="14047" xr:uid="{00000000-0005-0000-0000-0000A5370000}"/>
    <cellStyle name="SAPBEXHLevel1 24 6" xfId="14048" xr:uid="{00000000-0005-0000-0000-0000A6370000}"/>
    <cellStyle name="SAPBEXHLevel1 25" xfId="14049" xr:uid="{00000000-0005-0000-0000-0000A7370000}"/>
    <cellStyle name="SAPBEXHLevel1 25 2" xfId="14050" xr:uid="{00000000-0005-0000-0000-0000A8370000}"/>
    <cellStyle name="SAPBEXHLevel1 25 3" xfId="14051" xr:uid="{00000000-0005-0000-0000-0000A9370000}"/>
    <cellStyle name="SAPBEXHLevel1 25 4" xfId="14052" xr:uid="{00000000-0005-0000-0000-0000AA370000}"/>
    <cellStyle name="SAPBEXHLevel1 25 5" xfId="14053" xr:uid="{00000000-0005-0000-0000-0000AB370000}"/>
    <cellStyle name="SAPBEXHLevel1 25 6" xfId="14054" xr:uid="{00000000-0005-0000-0000-0000AC370000}"/>
    <cellStyle name="SAPBEXHLevel1 26" xfId="14055" xr:uid="{00000000-0005-0000-0000-0000AD370000}"/>
    <cellStyle name="SAPBEXHLevel1 26 2" xfId="14056" xr:uid="{00000000-0005-0000-0000-0000AE370000}"/>
    <cellStyle name="SAPBEXHLevel1 26 3" xfId="14057" xr:uid="{00000000-0005-0000-0000-0000AF370000}"/>
    <cellStyle name="SAPBEXHLevel1 26 4" xfId="14058" xr:uid="{00000000-0005-0000-0000-0000B0370000}"/>
    <cellStyle name="SAPBEXHLevel1 26 5" xfId="14059" xr:uid="{00000000-0005-0000-0000-0000B1370000}"/>
    <cellStyle name="SAPBEXHLevel1 26 6" xfId="14060" xr:uid="{00000000-0005-0000-0000-0000B2370000}"/>
    <cellStyle name="SAPBEXHLevel1 27" xfId="14061" xr:uid="{00000000-0005-0000-0000-0000B3370000}"/>
    <cellStyle name="SAPBEXHLevel1 27 2" xfId="14062" xr:uid="{00000000-0005-0000-0000-0000B4370000}"/>
    <cellStyle name="SAPBEXHLevel1 27 3" xfId="14063" xr:uid="{00000000-0005-0000-0000-0000B5370000}"/>
    <cellStyle name="SAPBEXHLevel1 27 4" xfId="14064" xr:uid="{00000000-0005-0000-0000-0000B6370000}"/>
    <cellStyle name="SAPBEXHLevel1 27 5" xfId="14065" xr:uid="{00000000-0005-0000-0000-0000B7370000}"/>
    <cellStyle name="SAPBEXHLevel1 27 6" xfId="14066" xr:uid="{00000000-0005-0000-0000-0000B8370000}"/>
    <cellStyle name="SAPBEXHLevel1 28" xfId="14067" xr:uid="{00000000-0005-0000-0000-0000B9370000}"/>
    <cellStyle name="SAPBEXHLevel1 28 2" xfId="14068" xr:uid="{00000000-0005-0000-0000-0000BA370000}"/>
    <cellStyle name="SAPBEXHLevel1 28 3" xfId="14069" xr:uid="{00000000-0005-0000-0000-0000BB370000}"/>
    <cellStyle name="SAPBEXHLevel1 28 4" xfId="14070" xr:uid="{00000000-0005-0000-0000-0000BC370000}"/>
    <cellStyle name="SAPBEXHLevel1 28 5" xfId="14071" xr:uid="{00000000-0005-0000-0000-0000BD370000}"/>
    <cellStyle name="SAPBEXHLevel1 28 6" xfId="14072" xr:uid="{00000000-0005-0000-0000-0000BE370000}"/>
    <cellStyle name="SAPBEXHLevel1 29" xfId="14073" xr:uid="{00000000-0005-0000-0000-0000BF370000}"/>
    <cellStyle name="SAPBEXHLevel1 29 2" xfId="14074" xr:uid="{00000000-0005-0000-0000-0000C0370000}"/>
    <cellStyle name="SAPBEXHLevel1 29 3" xfId="14075" xr:uid="{00000000-0005-0000-0000-0000C1370000}"/>
    <cellStyle name="SAPBEXHLevel1 29 4" xfId="14076" xr:uid="{00000000-0005-0000-0000-0000C2370000}"/>
    <cellStyle name="SAPBEXHLevel1 29 5" xfId="14077" xr:uid="{00000000-0005-0000-0000-0000C3370000}"/>
    <cellStyle name="SAPBEXHLevel1 29 6" xfId="14078" xr:uid="{00000000-0005-0000-0000-0000C4370000}"/>
    <cellStyle name="SAPBEXHLevel1 3" xfId="14079" xr:uid="{00000000-0005-0000-0000-0000C5370000}"/>
    <cellStyle name="SAPBEXHLevel1 3 10" xfId="14080" xr:uid="{00000000-0005-0000-0000-0000C6370000}"/>
    <cellStyle name="SAPBEXHLevel1 3 11" xfId="14081" xr:uid="{00000000-0005-0000-0000-0000C7370000}"/>
    <cellStyle name="SAPBEXHLevel1 3 12" xfId="14082" xr:uid="{00000000-0005-0000-0000-0000C8370000}"/>
    <cellStyle name="SAPBEXHLevel1 3 2" xfId="14083" xr:uid="{00000000-0005-0000-0000-0000C9370000}"/>
    <cellStyle name="SAPBEXHLevel1 3 2 2" xfId="14084" xr:uid="{00000000-0005-0000-0000-0000CA370000}"/>
    <cellStyle name="SAPBEXHLevel1 3 2 2 2" xfId="14085" xr:uid="{00000000-0005-0000-0000-0000CB370000}"/>
    <cellStyle name="SAPBEXHLevel1 3 2 2 3" xfId="14086" xr:uid="{00000000-0005-0000-0000-0000CC370000}"/>
    <cellStyle name="SAPBEXHLevel1 3 2 2 4" xfId="14087" xr:uid="{00000000-0005-0000-0000-0000CD370000}"/>
    <cellStyle name="SAPBEXHLevel1 3 2 2 5" xfId="14088" xr:uid="{00000000-0005-0000-0000-0000CE370000}"/>
    <cellStyle name="SAPBEXHLevel1 3 2 2 6" xfId="14089" xr:uid="{00000000-0005-0000-0000-0000CF370000}"/>
    <cellStyle name="SAPBEXHLevel1 3 2 3" xfId="14090" xr:uid="{00000000-0005-0000-0000-0000D0370000}"/>
    <cellStyle name="SAPBEXHLevel1 3 2 3 2" xfId="14091" xr:uid="{00000000-0005-0000-0000-0000D1370000}"/>
    <cellStyle name="SAPBEXHLevel1 3 2 3 3" xfId="14092" xr:uid="{00000000-0005-0000-0000-0000D2370000}"/>
    <cellStyle name="SAPBEXHLevel1 3 2 3 4" xfId="14093" xr:uid="{00000000-0005-0000-0000-0000D3370000}"/>
    <cellStyle name="SAPBEXHLevel1 3 2 3 5" xfId="14094" xr:uid="{00000000-0005-0000-0000-0000D4370000}"/>
    <cellStyle name="SAPBEXHLevel1 3 2 3 6" xfId="14095" xr:uid="{00000000-0005-0000-0000-0000D5370000}"/>
    <cellStyle name="SAPBEXHLevel1 3 2 4" xfId="14096" xr:uid="{00000000-0005-0000-0000-0000D6370000}"/>
    <cellStyle name="SAPBEXHLevel1 3 2 4 2" xfId="14097" xr:uid="{00000000-0005-0000-0000-0000D7370000}"/>
    <cellStyle name="SAPBEXHLevel1 3 2 4 3" xfId="14098" xr:uid="{00000000-0005-0000-0000-0000D8370000}"/>
    <cellStyle name="SAPBEXHLevel1 3 2 4 4" xfId="14099" xr:uid="{00000000-0005-0000-0000-0000D9370000}"/>
    <cellStyle name="SAPBEXHLevel1 3 2 4 5" xfId="14100" xr:uid="{00000000-0005-0000-0000-0000DA370000}"/>
    <cellStyle name="SAPBEXHLevel1 3 2 4 6" xfId="14101" xr:uid="{00000000-0005-0000-0000-0000DB370000}"/>
    <cellStyle name="SAPBEXHLevel1 3 2 5" xfId="14102" xr:uid="{00000000-0005-0000-0000-0000DC370000}"/>
    <cellStyle name="SAPBEXHLevel1 3 2 5 2" xfId="14103" xr:uid="{00000000-0005-0000-0000-0000DD370000}"/>
    <cellStyle name="SAPBEXHLevel1 3 2 5 3" xfId="14104" xr:uid="{00000000-0005-0000-0000-0000DE370000}"/>
    <cellStyle name="SAPBEXHLevel1 3 2 5 4" xfId="14105" xr:uid="{00000000-0005-0000-0000-0000DF370000}"/>
    <cellStyle name="SAPBEXHLevel1 3 2 5 5" xfId="14106" xr:uid="{00000000-0005-0000-0000-0000E0370000}"/>
    <cellStyle name="SAPBEXHLevel1 3 2 5 6" xfId="14107" xr:uid="{00000000-0005-0000-0000-0000E1370000}"/>
    <cellStyle name="SAPBEXHLevel1 3 2 6" xfId="14108" xr:uid="{00000000-0005-0000-0000-0000E2370000}"/>
    <cellStyle name="SAPBEXHLevel1 3 2 7" xfId="14109" xr:uid="{00000000-0005-0000-0000-0000E3370000}"/>
    <cellStyle name="SAPBEXHLevel1 3 2 8" xfId="14110" xr:uid="{00000000-0005-0000-0000-0000E4370000}"/>
    <cellStyle name="SAPBEXHLevel1 3 3" xfId="14111" xr:uid="{00000000-0005-0000-0000-0000E5370000}"/>
    <cellStyle name="SAPBEXHLevel1 3 3 2" xfId="14112" xr:uid="{00000000-0005-0000-0000-0000E6370000}"/>
    <cellStyle name="SAPBEXHLevel1 3 3 3" xfId="14113" xr:uid="{00000000-0005-0000-0000-0000E7370000}"/>
    <cellStyle name="SAPBEXHLevel1 3 3 4" xfId="14114" xr:uid="{00000000-0005-0000-0000-0000E8370000}"/>
    <cellStyle name="SAPBEXHLevel1 3 3 5" xfId="14115" xr:uid="{00000000-0005-0000-0000-0000E9370000}"/>
    <cellStyle name="SAPBEXHLevel1 3 3 6" xfId="14116" xr:uid="{00000000-0005-0000-0000-0000EA370000}"/>
    <cellStyle name="SAPBEXHLevel1 3 4" xfId="14117" xr:uid="{00000000-0005-0000-0000-0000EB370000}"/>
    <cellStyle name="SAPBEXHLevel1 3 4 2" xfId="14118" xr:uid="{00000000-0005-0000-0000-0000EC370000}"/>
    <cellStyle name="SAPBEXHLevel1 3 4 3" xfId="14119" xr:uid="{00000000-0005-0000-0000-0000ED370000}"/>
    <cellStyle name="SAPBEXHLevel1 3 4 4" xfId="14120" xr:uid="{00000000-0005-0000-0000-0000EE370000}"/>
    <cellStyle name="SAPBEXHLevel1 3 4 5" xfId="14121" xr:uid="{00000000-0005-0000-0000-0000EF370000}"/>
    <cellStyle name="SAPBEXHLevel1 3 4 6" xfId="14122" xr:uid="{00000000-0005-0000-0000-0000F0370000}"/>
    <cellStyle name="SAPBEXHLevel1 3 5" xfId="14123" xr:uid="{00000000-0005-0000-0000-0000F1370000}"/>
    <cellStyle name="SAPBEXHLevel1 3 5 2" xfId="14124" xr:uid="{00000000-0005-0000-0000-0000F2370000}"/>
    <cellStyle name="SAPBEXHLevel1 3 5 3" xfId="14125" xr:uid="{00000000-0005-0000-0000-0000F3370000}"/>
    <cellStyle name="SAPBEXHLevel1 3 5 4" xfId="14126" xr:uid="{00000000-0005-0000-0000-0000F4370000}"/>
    <cellStyle name="SAPBEXHLevel1 3 6" xfId="14127" xr:uid="{00000000-0005-0000-0000-0000F5370000}"/>
    <cellStyle name="SAPBEXHLevel1 3 6 2" xfId="14128" xr:uid="{00000000-0005-0000-0000-0000F6370000}"/>
    <cellStyle name="SAPBEXHLevel1 3 6 3" xfId="14129" xr:uid="{00000000-0005-0000-0000-0000F7370000}"/>
    <cellStyle name="SAPBEXHLevel1 3 6 4" xfId="14130" xr:uid="{00000000-0005-0000-0000-0000F8370000}"/>
    <cellStyle name="SAPBEXHLevel1 3 7" xfId="14131" xr:uid="{00000000-0005-0000-0000-0000F9370000}"/>
    <cellStyle name="SAPBEXHLevel1 3 7 2" xfId="14132" xr:uid="{00000000-0005-0000-0000-0000FA370000}"/>
    <cellStyle name="SAPBEXHLevel1 3 7 3" xfId="14133" xr:uid="{00000000-0005-0000-0000-0000FB370000}"/>
    <cellStyle name="SAPBEXHLevel1 3 7 4" xfId="14134" xr:uid="{00000000-0005-0000-0000-0000FC370000}"/>
    <cellStyle name="SAPBEXHLevel1 3 8" xfId="14135" xr:uid="{00000000-0005-0000-0000-0000FD370000}"/>
    <cellStyle name="SAPBEXHLevel1 3 9" xfId="14136" xr:uid="{00000000-0005-0000-0000-0000FE370000}"/>
    <cellStyle name="SAPBEXHLevel1 30" xfId="14137" xr:uid="{00000000-0005-0000-0000-0000FF370000}"/>
    <cellStyle name="SAPBEXHLevel1 30 2" xfId="14138" xr:uid="{00000000-0005-0000-0000-000000380000}"/>
    <cellStyle name="SAPBEXHLevel1 30 3" xfId="14139" xr:uid="{00000000-0005-0000-0000-000001380000}"/>
    <cellStyle name="SAPBEXHLevel1 30 4" xfId="14140" xr:uid="{00000000-0005-0000-0000-000002380000}"/>
    <cellStyle name="SAPBEXHLevel1 30 5" xfId="14141" xr:uid="{00000000-0005-0000-0000-000003380000}"/>
    <cellStyle name="SAPBEXHLevel1 30 6" xfId="14142" xr:uid="{00000000-0005-0000-0000-000004380000}"/>
    <cellStyle name="SAPBEXHLevel1 31" xfId="14143" xr:uid="{00000000-0005-0000-0000-000005380000}"/>
    <cellStyle name="SAPBEXHLevel1 31 2" xfId="14144" xr:uid="{00000000-0005-0000-0000-000006380000}"/>
    <cellStyle name="SAPBEXHLevel1 31 3" xfId="14145" xr:uid="{00000000-0005-0000-0000-000007380000}"/>
    <cellStyle name="SAPBEXHLevel1 31 4" xfId="14146" xr:uid="{00000000-0005-0000-0000-000008380000}"/>
    <cellStyle name="SAPBEXHLevel1 31 5" xfId="14147" xr:uid="{00000000-0005-0000-0000-000009380000}"/>
    <cellStyle name="SAPBEXHLevel1 31 6" xfId="14148" xr:uid="{00000000-0005-0000-0000-00000A380000}"/>
    <cellStyle name="SAPBEXHLevel1 32" xfId="14149" xr:uid="{00000000-0005-0000-0000-00000B380000}"/>
    <cellStyle name="SAPBEXHLevel1 32 2" xfId="14150" xr:uid="{00000000-0005-0000-0000-00000C380000}"/>
    <cellStyle name="SAPBEXHLevel1 32 3" xfId="14151" xr:uid="{00000000-0005-0000-0000-00000D380000}"/>
    <cellStyle name="SAPBEXHLevel1 32 4" xfId="14152" xr:uid="{00000000-0005-0000-0000-00000E380000}"/>
    <cellStyle name="SAPBEXHLevel1 32 5" xfId="14153" xr:uid="{00000000-0005-0000-0000-00000F380000}"/>
    <cellStyle name="SAPBEXHLevel1 32 6" xfId="14154" xr:uid="{00000000-0005-0000-0000-000010380000}"/>
    <cellStyle name="SAPBEXHLevel1 33" xfId="14155" xr:uid="{00000000-0005-0000-0000-000011380000}"/>
    <cellStyle name="SAPBEXHLevel1 34" xfId="14156" xr:uid="{00000000-0005-0000-0000-000012380000}"/>
    <cellStyle name="SAPBEXHLevel1 35" xfId="14157" xr:uid="{00000000-0005-0000-0000-000013380000}"/>
    <cellStyle name="SAPBEXHLevel1 36" xfId="14158" xr:uid="{00000000-0005-0000-0000-000014380000}"/>
    <cellStyle name="SAPBEXHLevel1 37" xfId="14159" xr:uid="{00000000-0005-0000-0000-000015380000}"/>
    <cellStyle name="SAPBEXHLevel1 38" xfId="14160" xr:uid="{00000000-0005-0000-0000-000016380000}"/>
    <cellStyle name="SAPBEXHLevel1 39" xfId="14161" xr:uid="{00000000-0005-0000-0000-000017380000}"/>
    <cellStyle name="SAPBEXHLevel1 4" xfId="14162" xr:uid="{00000000-0005-0000-0000-000018380000}"/>
    <cellStyle name="SAPBEXHLevel1 4 2" xfId="14163" xr:uid="{00000000-0005-0000-0000-000019380000}"/>
    <cellStyle name="SAPBEXHLevel1 4 3" xfId="14164" xr:uid="{00000000-0005-0000-0000-00001A380000}"/>
    <cellStyle name="SAPBEXHLevel1 4 4" xfId="14165" xr:uid="{00000000-0005-0000-0000-00001B380000}"/>
    <cellStyle name="SAPBEXHLevel1 4 5" xfId="14166" xr:uid="{00000000-0005-0000-0000-00001C380000}"/>
    <cellStyle name="SAPBEXHLevel1 4 6" xfId="14167" xr:uid="{00000000-0005-0000-0000-00001D380000}"/>
    <cellStyle name="SAPBEXHLevel1 40" xfId="14168" xr:uid="{00000000-0005-0000-0000-00001E380000}"/>
    <cellStyle name="SAPBEXHLevel1 41" xfId="14169" xr:uid="{00000000-0005-0000-0000-00001F380000}"/>
    <cellStyle name="SAPBEXHLevel1 42" xfId="14170" xr:uid="{00000000-0005-0000-0000-000020380000}"/>
    <cellStyle name="SAPBEXHLevel1 43" xfId="14171" xr:uid="{00000000-0005-0000-0000-000021380000}"/>
    <cellStyle name="SAPBEXHLevel1 44" xfId="14172" xr:uid="{00000000-0005-0000-0000-000022380000}"/>
    <cellStyle name="SAPBEXHLevel1 45" xfId="14173" xr:uid="{00000000-0005-0000-0000-000023380000}"/>
    <cellStyle name="SAPBEXHLevel1 46" xfId="14174" xr:uid="{00000000-0005-0000-0000-000024380000}"/>
    <cellStyle name="SAPBEXHLevel1 47" xfId="14175" xr:uid="{00000000-0005-0000-0000-000025380000}"/>
    <cellStyle name="SAPBEXHLevel1 48" xfId="14176" xr:uid="{00000000-0005-0000-0000-000026380000}"/>
    <cellStyle name="SAPBEXHLevel1 49" xfId="14177" xr:uid="{00000000-0005-0000-0000-000027380000}"/>
    <cellStyle name="SAPBEXHLevel1 5" xfId="14178" xr:uid="{00000000-0005-0000-0000-000028380000}"/>
    <cellStyle name="SAPBEXHLevel1 5 2" xfId="14179" xr:uid="{00000000-0005-0000-0000-000029380000}"/>
    <cellStyle name="SAPBEXHLevel1 5 3" xfId="14180" xr:uid="{00000000-0005-0000-0000-00002A380000}"/>
    <cellStyle name="SAPBEXHLevel1 5 4" xfId="14181" xr:uid="{00000000-0005-0000-0000-00002B380000}"/>
    <cellStyle name="SAPBEXHLevel1 5 5" xfId="14182" xr:uid="{00000000-0005-0000-0000-00002C380000}"/>
    <cellStyle name="SAPBEXHLevel1 5 6" xfId="14183" xr:uid="{00000000-0005-0000-0000-00002D380000}"/>
    <cellStyle name="SAPBEXHLevel1 50" xfId="14184" xr:uid="{00000000-0005-0000-0000-00002E380000}"/>
    <cellStyle name="SAPBEXHLevel1 51" xfId="14185" xr:uid="{00000000-0005-0000-0000-00002F380000}"/>
    <cellStyle name="SAPBEXHLevel1 52" xfId="14186" xr:uid="{00000000-0005-0000-0000-000030380000}"/>
    <cellStyle name="SAPBEXHLevel1 53" xfId="14187" xr:uid="{00000000-0005-0000-0000-000031380000}"/>
    <cellStyle name="SAPBEXHLevel1 54" xfId="14188" xr:uid="{00000000-0005-0000-0000-000032380000}"/>
    <cellStyle name="SAPBEXHLevel1 55" xfId="14189" xr:uid="{00000000-0005-0000-0000-000033380000}"/>
    <cellStyle name="SAPBEXHLevel1 56" xfId="14190" xr:uid="{00000000-0005-0000-0000-000034380000}"/>
    <cellStyle name="SAPBEXHLevel1 57" xfId="14191" xr:uid="{00000000-0005-0000-0000-000035380000}"/>
    <cellStyle name="SAPBEXHLevel1 58" xfId="14192" xr:uid="{00000000-0005-0000-0000-000036380000}"/>
    <cellStyle name="SAPBEXHLevel1 59" xfId="14193" xr:uid="{00000000-0005-0000-0000-000037380000}"/>
    <cellStyle name="SAPBEXHLevel1 6" xfId="14194" xr:uid="{00000000-0005-0000-0000-000038380000}"/>
    <cellStyle name="SAPBEXHLevel1 6 10" xfId="14195" xr:uid="{00000000-0005-0000-0000-000039380000}"/>
    <cellStyle name="SAPBEXHLevel1 6 2" xfId="14196" xr:uid="{00000000-0005-0000-0000-00003A380000}"/>
    <cellStyle name="SAPBEXHLevel1 6 2 2" xfId="14197" xr:uid="{00000000-0005-0000-0000-00003B380000}"/>
    <cellStyle name="SAPBEXHLevel1 6 2 3" xfId="14198" xr:uid="{00000000-0005-0000-0000-00003C380000}"/>
    <cellStyle name="SAPBEXHLevel1 6 2 4" xfId="14199" xr:uid="{00000000-0005-0000-0000-00003D380000}"/>
    <cellStyle name="SAPBEXHLevel1 6 3" xfId="14200" xr:uid="{00000000-0005-0000-0000-00003E380000}"/>
    <cellStyle name="SAPBEXHLevel1 6 3 2" xfId="14201" xr:uid="{00000000-0005-0000-0000-00003F380000}"/>
    <cellStyle name="SAPBEXHLevel1 6 3 3" xfId="14202" xr:uid="{00000000-0005-0000-0000-000040380000}"/>
    <cellStyle name="SAPBEXHLevel1 6 3 4" xfId="14203" xr:uid="{00000000-0005-0000-0000-000041380000}"/>
    <cellStyle name="SAPBEXHLevel1 6 4" xfId="14204" xr:uid="{00000000-0005-0000-0000-000042380000}"/>
    <cellStyle name="SAPBEXHLevel1 6 4 2" xfId="14205" xr:uid="{00000000-0005-0000-0000-000043380000}"/>
    <cellStyle name="SAPBEXHLevel1 6 4 3" xfId="14206" xr:uid="{00000000-0005-0000-0000-000044380000}"/>
    <cellStyle name="SAPBEXHLevel1 6 4 4" xfId="14207" xr:uid="{00000000-0005-0000-0000-000045380000}"/>
    <cellStyle name="SAPBEXHLevel1 6 5" xfId="14208" xr:uid="{00000000-0005-0000-0000-000046380000}"/>
    <cellStyle name="SAPBEXHLevel1 6 5 2" xfId="14209" xr:uid="{00000000-0005-0000-0000-000047380000}"/>
    <cellStyle name="SAPBEXHLevel1 6 5 3" xfId="14210" xr:uid="{00000000-0005-0000-0000-000048380000}"/>
    <cellStyle name="SAPBEXHLevel1 6 5 4" xfId="14211" xr:uid="{00000000-0005-0000-0000-000049380000}"/>
    <cellStyle name="SAPBEXHLevel1 6 6" xfId="14212" xr:uid="{00000000-0005-0000-0000-00004A380000}"/>
    <cellStyle name="SAPBEXHLevel1 6 7" xfId="14213" xr:uid="{00000000-0005-0000-0000-00004B380000}"/>
    <cellStyle name="SAPBEXHLevel1 6 8" xfId="14214" xr:uid="{00000000-0005-0000-0000-00004C380000}"/>
    <cellStyle name="SAPBEXHLevel1 6 9" xfId="14215" xr:uid="{00000000-0005-0000-0000-00004D380000}"/>
    <cellStyle name="SAPBEXHLevel1 60" xfId="14216" xr:uid="{00000000-0005-0000-0000-00004E380000}"/>
    <cellStyle name="SAPBEXHLevel1 61" xfId="14217" xr:uid="{00000000-0005-0000-0000-00004F380000}"/>
    <cellStyle name="SAPBEXHLevel1 62" xfId="14218" xr:uid="{00000000-0005-0000-0000-000050380000}"/>
    <cellStyle name="SAPBEXHLevel1 63" xfId="14219" xr:uid="{00000000-0005-0000-0000-000051380000}"/>
    <cellStyle name="SAPBEXHLevel1 64" xfId="14220" xr:uid="{00000000-0005-0000-0000-000052380000}"/>
    <cellStyle name="SAPBEXHLevel1 65" xfId="14221" xr:uid="{00000000-0005-0000-0000-000053380000}"/>
    <cellStyle name="SAPBEXHLevel1 66" xfId="14222" xr:uid="{00000000-0005-0000-0000-000054380000}"/>
    <cellStyle name="SAPBEXHLevel1 67" xfId="14223" xr:uid="{00000000-0005-0000-0000-000055380000}"/>
    <cellStyle name="SAPBEXHLevel1 68" xfId="14224" xr:uid="{00000000-0005-0000-0000-000056380000}"/>
    <cellStyle name="SAPBEXHLevel1 69" xfId="14225" xr:uid="{00000000-0005-0000-0000-000057380000}"/>
    <cellStyle name="SAPBEXHLevel1 7" xfId="14226" xr:uid="{00000000-0005-0000-0000-000058380000}"/>
    <cellStyle name="SAPBEXHLevel1 7 10" xfId="14227" xr:uid="{00000000-0005-0000-0000-000059380000}"/>
    <cellStyle name="SAPBEXHLevel1 7 2" xfId="14228" xr:uid="{00000000-0005-0000-0000-00005A380000}"/>
    <cellStyle name="SAPBEXHLevel1 7 2 2" xfId="14229" xr:uid="{00000000-0005-0000-0000-00005B380000}"/>
    <cellStyle name="SAPBEXHLevel1 7 2 3" xfId="14230" xr:uid="{00000000-0005-0000-0000-00005C380000}"/>
    <cellStyle name="SAPBEXHLevel1 7 2 4" xfId="14231" xr:uid="{00000000-0005-0000-0000-00005D380000}"/>
    <cellStyle name="SAPBEXHLevel1 7 3" xfId="14232" xr:uid="{00000000-0005-0000-0000-00005E380000}"/>
    <cellStyle name="SAPBEXHLevel1 7 3 2" xfId="14233" xr:uid="{00000000-0005-0000-0000-00005F380000}"/>
    <cellStyle name="SAPBEXHLevel1 7 3 3" xfId="14234" xr:uid="{00000000-0005-0000-0000-000060380000}"/>
    <cellStyle name="SAPBEXHLevel1 7 3 4" xfId="14235" xr:uid="{00000000-0005-0000-0000-000061380000}"/>
    <cellStyle name="SAPBEXHLevel1 7 4" xfId="14236" xr:uid="{00000000-0005-0000-0000-000062380000}"/>
    <cellStyle name="SAPBEXHLevel1 7 4 2" xfId="14237" xr:uid="{00000000-0005-0000-0000-000063380000}"/>
    <cellStyle name="SAPBEXHLevel1 7 4 3" xfId="14238" xr:uid="{00000000-0005-0000-0000-000064380000}"/>
    <cellStyle name="SAPBEXHLevel1 7 4 4" xfId="14239" xr:uid="{00000000-0005-0000-0000-000065380000}"/>
    <cellStyle name="SAPBEXHLevel1 7 5" xfId="14240" xr:uid="{00000000-0005-0000-0000-000066380000}"/>
    <cellStyle name="SAPBEXHLevel1 7 5 2" xfId="14241" xr:uid="{00000000-0005-0000-0000-000067380000}"/>
    <cellStyle name="SAPBEXHLevel1 7 5 3" xfId="14242" xr:uid="{00000000-0005-0000-0000-000068380000}"/>
    <cellStyle name="SAPBEXHLevel1 7 5 4" xfId="14243" xr:uid="{00000000-0005-0000-0000-000069380000}"/>
    <cellStyle name="SAPBEXHLevel1 7 6" xfId="14244" xr:uid="{00000000-0005-0000-0000-00006A380000}"/>
    <cellStyle name="SAPBEXHLevel1 7 7" xfId="14245" xr:uid="{00000000-0005-0000-0000-00006B380000}"/>
    <cellStyle name="SAPBEXHLevel1 7 8" xfId="14246" xr:uid="{00000000-0005-0000-0000-00006C380000}"/>
    <cellStyle name="SAPBEXHLevel1 7 9" xfId="14247" xr:uid="{00000000-0005-0000-0000-00006D380000}"/>
    <cellStyle name="SAPBEXHLevel1 70" xfId="14248" xr:uid="{00000000-0005-0000-0000-00006E380000}"/>
    <cellStyle name="SAPBEXHLevel1 71" xfId="14249" xr:uid="{00000000-0005-0000-0000-00006F380000}"/>
    <cellStyle name="SAPBEXHLevel1 72" xfId="14250" xr:uid="{00000000-0005-0000-0000-000070380000}"/>
    <cellStyle name="SAPBEXHLevel1 73" xfId="14251" xr:uid="{00000000-0005-0000-0000-000071380000}"/>
    <cellStyle name="SAPBEXHLevel1 74" xfId="14252" xr:uid="{00000000-0005-0000-0000-000072380000}"/>
    <cellStyle name="SAPBEXHLevel1 75" xfId="14253" xr:uid="{00000000-0005-0000-0000-000073380000}"/>
    <cellStyle name="SAPBEXHLevel1 76" xfId="14254" xr:uid="{00000000-0005-0000-0000-000074380000}"/>
    <cellStyle name="SAPBEXHLevel1 77" xfId="14255" xr:uid="{00000000-0005-0000-0000-000075380000}"/>
    <cellStyle name="SAPBEXHLevel1 78" xfId="14256" xr:uid="{00000000-0005-0000-0000-000076380000}"/>
    <cellStyle name="SAPBEXHLevel1 79" xfId="14257" xr:uid="{00000000-0005-0000-0000-000077380000}"/>
    <cellStyle name="SAPBEXHLevel1 8" xfId="14258" xr:uid="{00000000-0005-0000-0000-000078380000}"/>
    <cellStyle name="SAPBEXHLevel1 8 2" xfId="14259" xr:uid="{00000000-0005-0000-0000-000079380000}"/>
    <cellStyle name="SAPBEXHLevel1 8 3" xfId="14260" xr:uid="{00000000-0005-0000-0000-00007A380000}"/>
    <cellStyle name="SAPBEXHLevel1 8 4" xfId="14261" xr:uid="{00000000-0005-0000-0000-00007B380000}"/>
    <cellStyle name="SAPBEXHLevel1 8 5" xfId="14262" xr:uid="{00000000-0005-0000-0000-00007C380000}"/>
    <cellStyle name="SAPBEXHLevel1 8 6" xfId="14263" xr:uid="{00000000-0005-0000-0000-00007D380000}"/>
    <cellStyle name="SAPBEXHLevel1 80" xfId="14264" xr:uid="{00000000-0005-0000-0000-00007E380000}"/>
    <cellStyle name="SAPBEXHLevel1 81" xfId="14265" xr:uid="{00000000-0005-0000-0000-00007F380000}"/>
    <cellStyle name="SAPBEXHLevel1 82" xfId="14266" xr:uid="{00000000-0005-0000-0000-000080380000}"/>
    <cellStyle name="SAPBEXHLevel1 83" xfId="14267" xr:uid="{00000000-0005-0000-0000-000081380000}"/>
    <cellStyle name="SAPBEXHLevel1 84" xfId="14268" xr:uid="{00000000-0005-0000-0000-000082380000}"/>
    <cellStyle name="SAPBEXHLevel1 85" xfId="14269" xr:uid="{00000000-0005-0000-0000-000083380000}"/>
    <cellStyle name="SAPBEXHLevel1 86" xfId="14270" xr:uid="{00000000-0005-0000-0000-000084380000}"/>
    <cellStyle name="SAPBEXHLevel1 87" xfId="14271" xr:uid="{00000000-0005-0000-0000-000085380000}"/>
    <cellStyle name="SAPBEXHLevel1 88" xfId="14272" xr:uid="{00000000-0005-0000-0000-000086380000}"/>
    <cellStyle name="SAPBEXHLevel1 89" xfId="14273" xr:uid="{00000000-0005-0000-0000-000087380000}"/>
    <cellStyle name="SAPBEXHLevel1 9" xfId="14274" xr:uid="{00000000-0005-0000-0000-000088380000}"/>
    <cellStyle name="SAPBEXHLevel1 9 2" xfId="14275" xr:uid="{00000000-0005-0000-0000-000089380000}"/>
    <cellStyle name="SAPBEXHLevel1 9 3" xfId="14276" xr:uid="{00000000-0005-0000-0000-00008A380000}"/>
    <cellStyle name="SAPBEXHLevel1 9 4" xfId="14277" xr:uid="{00000000-0005-0000-0000-00008B380000}"/>
    <cellStyle name="SAPBEXHLevel1 9 5" xfId="14278" xr:uid="{00000000-0005-0000-0000-00008C380000}"/>
    <cellStyle name="SAPBEXHLevel1 9 6" xfId="14279" xr:uid="{00000000-0005-0000-0000-00008D380000}"/>
    <cellStyle name="SAPBEXHLevel1 90" xfId="14280" xr:uid="{00000000-0005-0000-0000-00008E380000}"/>
    <cellStyle name="SAPBEXHLevel1 91" xfId="14281" xr:uid="{00000000-0005-0000-0000-00008F380000}"/>
    <cellStyle name="SAPBEXHLevel1 92" xfId="14282" xr:uid="{00000000-0005-0000-0000-000090380000}"/>
    <cellStyle name="SAPBEXHLevel1 93" xfId="14283" xr:uid="{00000000-0005-0000-0000-000091380000}"/>
    <cellStyle name="SAPBEXHLevel1 94" xfId="14284" xr:uid="{00000000-0005-0000-0000-000092380000}"/>
    <cellStyle name="SAPBEXHLevel1 95" xfId="14285" xr:uid="{00000000-0005-0000-0000-000093380000}"/>
    <cellStyle name="SAPBEXHLevel1 96" xfId="14286" xr:uid="{00000000-0005-0000-0000-000094380000}"/>
    <cellStyle name="SAPBEXHLevel1 97" xfId="14287" xr:uid="{00000000-0005-0000-0000-000095380000}"/>
    <cellStyle name="SAPBEXHLevel1 98" xfId="14288" xr:uid="{00000000-0005-0000-0000-000096380000}"/>
    <cellStyle name="SAPBEXHLevel1 99" xfId="14289" xr:uid="{00000000-0005-0000-0000-000097380000}"/>
    <cellStyle name="SAPBEXHLevel1_2009 05 22 Cash flow (2009) (20)" xfId="14290" xr:uid="{00000000-0005-0000-0000-000098380000}"/>
    <cellStyle name="SAPBEXHLevel1X" xfId="14291" xr:uid="{00000000-0005-0000-0000-000099380000}"/>
    <cellStyle name="SAPBEXHLevel1X 10" xfId="14292" xr:uid="{00000000-0005-0000-0000-00009A380000}"/>
    <cellStyle name="SAPBEXHLevel1X 10 2" xfId="14293" xr:uid="{00000000-0005-0000-0000-00009B380000}"/>
    <cellStyle name="SAPBEXHLevel1X 10 3" xfId="14294" xr:uid="{00000000-0005-0000-0000-00009C380000}"/>
    <cellStyle name="SAPBEXHLevel1X 10 4" xfId="14295" xr:uid="{00000000-0005-0000-0000-00009D380000}"/>
    <cellStyle name="SAPBEXHLevel1X 10 5" xfId="14296" xr:uid="{00000000-0005-0000-0000-00009E380000}"/>
    <cellStyle name="SAPBEXHLevel1X 10 6" xfId="14297" xr:uid="{00000000-0005-0000-0000-00009F380000}"/>
    <cellStyle name="SAPBEXHLevel1X 100" xfId="14298" xr:uid="{00000000-0005-0000-0000-0000A0380000}"/>
    <cellStyle name="SAPBEXHLevel1X 101" xfId="14299" xr:uid="{00000000-0005-0000-0000-0000A1380000}"/>
    <cellStyle name="SAPBEXHLevel1X 102" xfId="14300" xr:uid="{00000000-0005-0000-0000-0000A2380000}"/>
    <cellStyle name="SAPBEXHLevel1X 103" xfId="14301" xr:uid="{00000000-0005-0000-0000-0000A3380000}"/>
    <cellStyle name="SAPBEXHLevel1X 104" xfId="14302" xr:uid="{00000000-0005-0000-0000-0000A4380000}"/>
    <cellStyle name="SAPBEXHLevel1X 105" xfId="14303" xr:uid="{00000000-0005-0000-0000-0000A5380000}"/>
    <cellStyle name="SAPBEXHLevel1X 106" xfId="14304" xr:uid="{00000000-0005-0000-0000-0000A6380000}"/>
    <cellStyle name="SAPBEXHLevel1X 107" xfId="14305" xr:uid="{00000000-0005-0000-0000-0000A7380000}"/>
    <cellStyle name="SAPBEXHLevel1X 108" xfId="14306" xr:uid="{00000000-0005-0000-0000-0000A8380000}"/>
    <cellStyle name="SAPBEXHLevel1X 109" xfId="14307" xr:uid="{00000000-0005-0000-0000-0000A9380000}"/>
    <cellStyle name="SAPBEXHLevel1X 11" xfId="14308" xr:uid="{00000000-0005-0000-0000-0000AA380000}"/>
    <cellStyle name="SAPBEXHLevel1X 11 2" xfId="14309" xr:uid="{00000000-0005-0000-0000-0000AB380000}"/>
    <cellStyle name="SAPBEXHLevel1X 11 3" xfId="14310" xr:uid="{00000000-0005-0000-0000-0000AC380000}"/>
    <cellStyle name="SAPBEXHLevel1X 11 4" xfId="14311" xr:uid="{00000000-0005-0000-0000-0000AD380000}"/>
    <cellStyle name="SAPBEXHLevel1X 11 5" xfId="14312" xr:uid="{00000000-0005-0000-0000-0000AE380000}"/>
    <cellStyle name="SAPBEXHLevel1X 11 6" xfId="14313" xr:uid="{00000000-0005-0000-0000-0000AF380000}"/>
    <cellStyle name="SAPBEXHLevel1X 11 7" xfId="27860" xr:uid="{00000000-0005-0000-0000-0000B0380000}"/>
    <cellStyle name="SAPBEXHLevel1X 110" xfId="14314" xr:uid="{00000000-0005-0000-0000-0000B1380000}"/>
    <cellStyle name="SAPBEXHLevel1X 111" xfId="14315" xr:uid="{00000000-0005-0000-0000-0000B2380000}"/>
    <cellStyle name="SAPBEXHLevel1X 112" xfId="14316" xr:uid="{00000000-0005-0000-0000-0000B3380000}"/>
    <cellStyle name="SAPBEXHLevel1X 113" xfId="14317" xr:uid="{00000000-0005-0000-0000-0000B4380000}"/>
    <cellStyle name="SAPBEXHLevel1X 114" xfId="14318" xr:uid="{00000000-0005-0000-0000-0000B5380000}"/>
    <cellStyle name="SAPBEXHLevel1X 115" xfId="14319" xr:uid="{00000000-0005-0000-0000-0000B6380000}"/>
    <cellStyle name="SAPBEXHLevel1X 116" xfId="14320" xr:uid="{00000000-0005-0000-0000-0000B7380000}"/>
    <cellStyle name="SAPBEXHLevel1X 117" xfId="14321" xr:uid="{00000000-0005-0000-0000-0000B8380000}"/>
    <cellStyle name="SAPBEXHLevel1X 118" xfId="14322" xr:uid="{00000000-0005-0000-0000-0000B9380000}"/>
    <cellStyle name="SAPBEXHLevel1X 119" xfId="14323" xr:uid="{00000000-0005-0000-0000-0000BA380000}"/>
    <cellStyle name="SAPBEXHLevel1X 12" xfId="14324" xr:uid="{00000000-0005-0000-0000-0000BB380000}"/>
    <cellStyle name="SAPBEXHLevel1X 12 2" xfId="14325" xr:uid="{00000000-0005-0000-0000-0000BC380000}"/>
    <cellStyle name="SAPBEXHLevel1X 12 3" xfId="14326" xr:uid="{00000000-0005-0000-0000-0000BD380000}"/>
    <cellStyle name="SAPBEXHLevel1X 12 4" xfId="14327" xr:uid="{00000000-0005-0000-0000-0000BE380000}"/>
    <cellStyle name="SAPBEXHLevel1X 12 5" xfId="14328" xr:uid="{00000000-0005-0000-0000-0000BF380000}"/>
    <cellStyle name="SAPBEXHLevel1X 12 6" xfId="14329" xr:uid="{00000000-0005-0000-0000-0000C0380000}"/>
    <cellStyle name="SAPBEXHLevel1X 120" xfId="14330" xr:uid="{00000000-0005-0000-0000-0000C1380000}"/>
    <cellStyle name="SAPBEXHLevel1X 121" xfId="14331" xr:uid="{00000000-0005-0000-0000-0000C2380000}"/>
    <cellStyle name="SAPBEXHLevel1X 122" xfId="14332" xr:uid="{00000000-0005-0000-0000-0000C3380000}"/>
    <cellStyle name="SAPBEXHLevel1X 123" xfId="14333" xr:uid="{00000000-0005-0000-0000-0000C4380000}"/>
    <cellStyle name="SAPBEXHLevel1X 124" xfId="14334" xr:uid="{00000000-0005-0000-0000-0000C5380000}"/>
    <cellStyle name="SAPBEXHLevel1X 125" xfId="14335" xr:uid="{00000000-0005-0000-0000-0000C6380000}"/>
    <cellStyle name="SAPBEXHLevel1X 126" xfId="14336" xr:uid="{00000000-0005-0000-0000-0000C7380000}"/>
    <cellStyle name="SAPBEXHLevel1X 127" xfId="14337" xr:uid="{00000000-0005-0000-0000-0000C8380000}"/>
    <cellStyle name="SAPBEXHLevel1X 128" xfId="14338" xr:uid="{00000000-0005-0000-0000-0000C9380000}"/>
    <cellStyle name="SAPBEXHLevel1X 129" xfId="14339" xr:uid="{00000000-0005-0000-0000-0000CA380000}"/>
    <cellStyle name="SAPBEXHLevel1X 13" xfId="14340" xr:uid="{00000000-0005-0000-0000-0000CB380000}"/>
    <cellStyle name="SAPBEXHLevel1X 13 2" xfId="14341" xr:uid="{00000000-0005-0000-0000-0000CC380000}"/>
    <cellStyle name="SAPBEXHLevel1X 13 3" xfId="14342" xr:uid="{00000000-0005-0000-0000-0000CD380000}"/>
    <cellStyle name="SAPBEXHLevel1X 13 4" xfId="14343" xr:uid="{00000000-0005-0000-0000-0000CE380000}"/>
    <cellStyle name="SAPBEXHLevel1X 13 5" xfId="14344" xr:uid="{00000000-0005-0000-0000-0000CF380000}"/>
    <cellStyle name="SAPBEXHLevel1X 13 6" xfId="14345" xr:uid="{00000000-0005-0000-0000-0000D0380000}"/>
    <cellStyle name="SAPBEXHLevel1X 130" xfId="14346" xr:uid="{00000000-0005-0000-0000-0000D1380000}"/>
    <cellStyle name="SAPBEXHLevel1X 131" xfId="14347" xr:uid="{00000000-0005-0000-0000-0000D2380000}"/>
    <cellStyle name="SAPBEXHLevel1X 132" xfId="14348" xr:uid="{00000000-0005-0000-0000-0000D3380000}"/>
    <cellStyle name="SAPBEXHLevel1X 133" xfId="14349" xr:uid="{00000000-0005-0000-0000-0000D4380000}"/>
    <cellStyle name="SAPBEXHLevel1X 134" xfId="14350" xr:uid="{00000000-0005-0000-0000-0000D5380000}"/>
    <cellStyle name="SAPBEXHLevel1X 135" xfId="14351" xr:uid="{00000000-0005-0000-0000-0000D6380000}"/>
    <cellStyle name="SAPBEXHLevel1X 136" xfId="14352" xr:uid="{00000000-0005-0000-0000-0000D7380000}"/>
    <cellStyle name="SAPBEXHLevel1X 137" xfId="14353" xr:uid="{00000000-0005-0000-0000-0000D8380000}"/>
    <cellStyle name="SAPBEXHLevel1X 138" xfId="14354" xr:uid="{00000000-0005-0000-0000-0000D9380000}"/>
    <cellStyle name="SAPBEXHLevel1X 139" xfId="14355" xr:uid="{00000000-0005-0000-0000-0000DA380000}"/>
    <cellStyle name="SAPBEXHLevel1X 14" xfId="14356" xr:uid="{00000000-0005-0000-0000-0000DB380000}"/>
    <cellStyle name="SAPBEXHLevel1X 14 2" xfId="14357" xr:uid="{00000000-0005-0000-0000-0000DC380000}"/>
    <cellStyle name="SAPBEXHLevel1X 14 3" xfId="14358" xr:uid="{00000000-0005-0000-0000-0000DD380000}"/>
    <cellStyle name="SAPBEXHLevel1X 14 4" xfId="14359" xr:uid="{00000000-0005-0000-0000-0000DE380000}"/>
    <cellStyle name="SAPBEXHLevel1X 14 5" xfId="14360" xr:uid="{00000000-0005-0000-0000-0000DF380000}"/>
    <cellStyle name="SAPBEXHLevel1X 14 6" xfId="14361" xr:uid="{00000000-0005-0000-0000-0000E0380000}"/>
    <cellStyle name="SAPBEXHLevel1X 140" xfId="14362" xr:uid="{00000000-0005-0000-0000-0000E1380000}"/>
    <cellStyle name="SAPBEXHLevel1X 141" xfId="14363" xr:uid="{00000000-0005-0000-0000-0000E2380000}"/>
    <cellStyle name="SAPBEXHLevel1X 142" xfId="14364" xr:uid="{00000000-0005-0000-0000-0000E3380000}"/>
    <cellStyle name="SAPBEXHLevel1X 143" xfId="14365" xr:uid="{00000000-0005-0000-0000-0000E4380000}"/>
    <cellStyle name="SAPBEXHLevel1X 144" xfId="14366" xr:uid="{00000000-0005-0000-0000-0000E5380000}"/>
    <cellStyle name="SAPBEXHLevel1X 145" xfId="14367" xr:uid="{00000000-0005-0000-0000-0000E6380000}"/>
    <cellStyle name="SAPBEXHLevel1X 146" xfId="27812" xr:uid="{00000000-0005-0000-0000-0000E7380000}"/>
    <cellStyle name="SAPBEXHLevel1X 147" xfId="27925" xr:uid="{00000000-0005-0000-0000-0000E8380000}"/>
    <cellStyle name="SAPBEXHLevel1X 148" xfId="28025" xr:uid="{00000000-0005-0000-0000-0000E9380000}"/>
    <cellStyle name="SAPBEXHLevel1X 149" xfId="28085" xr:uid="{00000000-0005-0000-0000-0000EA380000}"/>
    <cellStyle name="SAPBEXHLevel1X 15" xfId="14368" xr:uid="{00000000-0005-0000-0000-0000EB380000}"/>
    <cellStyle name="SAPBEXHLevel1X 15 2" xfId="14369" xr:uid="{00000000-0005-0000-0000-0000EC380000}"/>
    <cellStyle name="SAPBEXHLevel1X 15 3" xfId="14370" xr:uid="{00000000-0005-0000-0000-0000ED380000}"/>
    <cellStyle name="SAPBEXHLevel1X 15 4" xfId="14371" xr:uid="{00000000-0005-0000-0000-0000EE380000}"/>
    <cellStyle name="SAPBEXHLevel1X 15 5" xfId="14372" xr:uid="{00000000-0005-0000-0000-0000EF380000}"/>
    <cellStyle name="SAPBEXHLevel1X 15 6" xfId="14373" xr:uid="{00000000-0005-0000-0000-0000F0380000}"/>
    <cellStyle name="SAPBEXHLevel1X 150" xfId="28158" xr:uid="{00000000-0005-0000-0000-0000F1380000}"/>
    <cellStyle name="SAPBEXHLevel1X 16" xfId="14374" xr:uid="{00000000-0005-0000-0000-0000F2380000}"/>
    <cellStyle name="SAPBEXHLevel1X 16 2" xfId="14375" xr:uid="{00000000-0005-0000-0000-0000F3380000}"/>
    <cellStyle name="SAPBEXHLevel1X 16 3" xfId="14376" xr:uid="{00000000-0005-0000-0000-0000F4380000}"/>
    <cellStyle name="SAPBEXHLevel1X 16 4" xfId="14377" xr:uid="{00000000-0005-0000-0000-0000F5380000}"/>
    <cellStyle name="SAPBEXHLevel1X 16 5" xfId="14378" xr:uid="{00000000-0005-0000-0000-0000F6380000}"/>
    <cellStyle name="SAPBEXHLevel1X 16 6" xfId="14379" xr:uid="{00000000-0005-0000-0000-0000F7380000}"/>
    <cellStyle name="SAPBEXHLevel1X 16 7" xfId="27779" xr:uid="{00000000-0005-0000-0000-0000F8380000}"/>
    <cellStyle name="SAPBEXHLevel1X 17" xfId="14380" xr:uid="{00000000-0005-0000-0000-0000F9380000}"/>
    <cellStyle name="SAPBEXHLevel1X 17 2" xfId="14381" xr:uid="{00000000-0005-0000-0000-0000FA380000}"/>
    <cellStyle name="SAPBEXHLevel1X 17 3" xfId="14382" xr:uid="{00000000-0005-0000-0000-0000FB380000}"/>
    <cellStyle name="SAPBEXHLevel1X 17 4" xfId="14383" xr:uid="{00000000-0005-0000-0000-0000FC380000}"/>
    <cellStyle name="SAPBEXHLevel1X 17 5" xfId="14384" xr:uid="{00000000-0005-0000-0000-0000FD380000}"/>
    <cellStyle name="SAPBEXHLevel1X 17 6" xfId="14385" xr:uid="{00000000-0005-0000-0000-0000FE380000}"/>
    <cellStyle name="SAPBEXHLevel1X 18" xfId="14386" xr:uid="{00000000-0005-0000-0000-0000FF380000}"/>
    <cellStyle name="SAPBEXHLevel1X 18 2" xfId="14387" xr:uid="{00000000-0005-0000-0000-000000390000}"/>
    <cellStyle name="SAPBEXHLevel1X 18 3" xfId="14388" xr:uid="{00000000-0005-0000-0000-000001390000}"/>
    <cellStyle name="SAPBEXHLevel1X 18 4" xfId="14389" xr:uid="{00000000-0005-0000-0000-000002390000}"/>
    <cellStyle name="SAPBEXHLevel1X 18 5" xfId="14390" xr:uid="{00000000-0005-0000-0000-000003390000}"/>
    <cellStyle name="SAPBEXHLevel1X 18 6" xfId="14391" xr:uid="{00000000-0005-0000-0000-000004390000}"/>
    <cellStyle name="SAPBEXHLevel1X 19" xfId="14392" xr:uid="{00000000-0005-0000-0000-000005390000}"/>
    <cellStyle name="SAPBEXHLevel1X 19 2" xfId="14393" xr:uid="{00000000-0005-0000-0000-000006390000}"/>
    <cellStyle name="SAPBEXHLevel1X 19 3" xfId="14394" xr:uid="{00000000-0005-0000-0000-000007390000}"/>
    <cellStyle name="SAPBEXHLevel1X 19 4" xfId="14395" xr:uid="{00000000-0005-0000-0000-000008390000}"/>
    <cellStyle name="SAPBEXHLevel1X 19 5" xfId="14396" xr:uid="{00000000-0005-0000-0000-000009390000}"/>
    <cellStyle name="SAPBEXHLevel1X 19 6" xfId="14397" xr:uid="{00000000-0005-0000-0000-00000A390000}"/>
    <cellStyle name="SAPBEXHLevel1X 2" xfId="14398" xr:uid="{00000000-0005-0000-0000-00000B390000}"/>
    <cellStyle name="SAPBEXHLevel1X 2 10" xfId="14399" xr:uid="{00000000-0005-0000-0000-00000C390000}"/>
    <cellStyle name="SAPBEXHLevel1X 2 11" xfId="14400" xr:uid="{00000000-0005-0000-0000-00000D390000}"/>
    <cellStyle name="SAPBEXHLevel1X 2 2" xfId="14401" xr:uid="{00000000-0005-0000-0000-00000E390000}"/>
    <cellStyle name="SAPBEXHLevel1X 2 2 2" xfId="14402" xr:uid="{00000000-0005-0000-0000-00000F390000}"/>
    <cellStyle name="SAPBEXHLevel1X 2 2 3" xfId="14403" xr:uid="{00000000-0005-0000-0000-000010390000}"/>
    <cellStyle name="SAPBEXHLevel1X 2 2 4" xfId="14404" xr:uid="{00000000-0005-0000-0000-000011390000}"/>
    <cellStyle name="SAPBEXHLevel1X 2 2 5" xfId="14405" xr:uid="{00000000-0005-0000-0000-000012390000}"/>
    <cellStyle name="SAPBEXHLevel1X 2 2 6" xfId="14406" xr:uid="{00000000-0005-0000-0000-000013390000}"/>
    <cellStyle name="SAPBEXHLevel1X 2 3" xfId="14407" xr:uid="{00000000-0005-0000-0000-000014390000}"/>
    <cellStyle name="SAPBEXHLevel1X 2 3 2" xfId="14408" xr:uid="{00000000-0005-0000-0000-000015390000}"/>
    <cellStyle name="SAPBEXHLevel1X 2 3 3" xfId="14409" xr:uid="{00000000-0005-0000-0000-000016390000}"/>
    <cellStyle name="SAPBEXHLevel1X 2 3 4" xfId="14410" xr:uid="{00000000-0005-0000-0000-000017390000}"/>
    <cellStyle name="SAPBEXHLevel1X 2 3 5" xfId="14411" xr:uid="{00000000-0005-0000-0000-000018390000}"/>
    <cellStyle name="SAPBEXHLevel1X 2 3 6" xfId="14412" xr:uid="{00000000-0005-0000-0000-000019390000}"/>
    <cellStyle name="SAPBEXHLevel1X 2 4" xfId="14413" xr:uid="{00000000-0005-0000-0000-00001A390000}"/>
    <cellStyle name="SAPBEXHLevel1X 2 4 2" xfId="14414" xr:uid="{00000000-0005-0000-0000-00001B390000}"/>
    <cellStyle name="SAPBEXHLevel1X 2 4 3" xfId="14415" xr:uid="{00000000-0005-0000-0000-00001C390000}"/>
    <cellStyle name="SAPBEXHLevel1X 2 4 4" xfId="14416" xr:uid="{00000000-0005-0000-0000-00001D390000}"/>
    <cellStyle name="SAPBEXHLevel1X 2 4 5" xfId="14417" xr:uid="{00000000-0005-0000-0000-00001E390000}"/>
    <cellStyle name="SAPBEXHLevel1X 2 4 6" xfId="14418" xr:uid="{00000000-0005-0000-0000-00001F390000}"/>
    <cellStyle name="SAPBEXHLevel1X 2 5" xfId="14419" xr:uid="{00000000-0005-0000-0000-000020390000}"/>
    <cellStyle name="SAPBEXHLevel1X 2 5 2" xfId="14420" xr:uid="{00000000-0005-0000-0000-000021390000}"/>
    <cellStyle name="SAPBEXHLevel1X 2 5 3" xfId="14421" xr:uid="{00000000-0005-0000-0000-000022390000}"/>
    <cellStyle name="SAPBEXHLevel1X 2 5 4" xfId="14422" xr:uid="{00000000-0005-0000-0000-000023390000}"/>
    <cellStyle name="SAPBEXHLevel1X 2 5 5" xfId="14423" xr:uid="{00000000-0005-0000-0000-000024390000}"/>
    <cellStyle name="SAPBEXHLevel1X 2 5 6" xfId="14424" xr:uid="{00000000-0005-0000-0000-000025390000}"/>
    <cellStyle name="SAPBEXHLevel1X 2 6" xfId="14425" xr:uid="{00000000-0005-0000-0000-000026390000}"/>
    <cellStyle name="SAPBEXHLevel1X 2 6 2" xfId="14426" xr:uid="{00000000-0005-0000-0000-000027390000}"/>
    <cellStyle name="SAPBEXHLevel1X 2 6 3" xfId="14427" xr:uid="{00000000-0005-0000-0000-000028390000}"/>
    <cellStyle name="SAPBEXHLevel1X 2 6 4" xfId="14428" xr:uid="{00000000-0005-0000-0000-000029390000}"/>
    <cellStyle name="SAPBEXHLevel1X 2 6 5" xfId="14429" xr:uid="{00000000-0005-0000-0000-00002A390000}"/>
    <cellStyle name="SAPBEXHLevel1X 2 6 6" xfId="14430" xr:uid="{00000000-0005-0000-0000-00002B390000}"/>
    <cellStyle name="SAPBEXHLevel1X 2 7" xfId="14431" xr:uid="{00000000-0005-0000-0000-00002C390000}"/>
    <cellStyle name="SAPBEXHLevel1X 2 8" xfId="14432" xr:uid="{00000000-0005-0000-0000-00002D390000}"/>
    <cellStyle name="SAPBEXHLevel1X 2 9" xfId="14433" xr:uid="{00000000-0005-0000-0000-00002E390000}"/>
    <cellStyle name="SAPBEXHLevel1X 20" xfId="14434" xr:uid="{00000000-0005-0000-0000-00002F390000}"/>
    <cellStyle name="SAPBEXHLevel1X 20 2" xfId="14435" xr:uid="{00000000-0005-0000-0000-000030390000}"/>
    <cellStyle name="SAPBEXHLevel1X 20 3" xfId="14436" xr:uid="{00000000-0005-0000-0000-000031390000}"/>
    <cellStyle name="SAPBEXHLevel1X 20 4" xfId="14437" xr:uid="{00000000-0005-0000-0000-000032390000}"/>
    <cellStyle name="SAPBEXHLevel1X 20 5" xfId="14438" xr:uid="{00000000-0005-0000-0000-000033390000}"/>
    <cellStyle name="SAPBEXHLevel1X 20 6" xfId="14439" xr:uid="{00000000-0005-0000-0000-000034390000}"/>
    <cellStyle name="SAPBEXHLevel1X 21" xfId="14440" xr:uid="{00000000-0005-0000-0000-000035390000}"/>
    <cellStyle name="SAPBEXHLevel1X 21 2" xfId="14441" xr:uid="{00000000-0005-0000-0000-000036390000}"/>
    <cellStyle name="SAPBEXHLevel1X 21 3" xfId="14442" xr:uid="{00000000-0005-0000-0000-000037390000}"/>
    <cellStyle name="SAPBEXHLevel1X 21 4" xfId="14443" xr:uid="{00000000-0005-0000-0000-000038390000}"/>
    <cellStyle name="SAPBEXHLevel1X 21 5" xfId="14444" xr:uid="{00000000-0005-0000-0000-000039390000}"/>
    <cellStyle name="SAPBEXHLevel1X 21 6" xfId="14445" xr:uid="{00000000-0005-0000-0000-00003A390000}"/>
    <cellStyle name="SAPBEXHLevel1X 22" xfId="14446" xr:uid="{00000000-0005-0000-0000-00003B390000}"/>
    <cellStyle name="SAPBEXHLevel1X 22 2" xfId="14447" xr:uid="{00000000-0005-0000-0000-00003C390000}"/>
    <cellStyle name="SAPBEXHLevel1X 22 3" xfId="14448" xr:uid="{00000000-0005-0000-0000-00003D390000}"/>
    <cellStyle name="SAPBEXHLevel1X 22 4" xfId="14449" xr:uid="{00000000-0005-0000-0000-00003E390000}"/>
    <cellStyle name="SAPBEXHLevel1X 22 5" xfId="14450" xr:uid="{00000000-0005-0000-0000-00003F390000}"/>
    <cellStyle name="SAPBEXHLevel1X 22 6" xfId="14451" xr:uid="{00000000-0005-0000-0000-000040390000}"/>
    <cellStyle name="SAPBEXHLevel1X 23" xfId="14452" xr:uid="{00000000-0005-0000-0000-000041390000}"/>
    <cellStyle name="SAPBEXHLevel1X 23 2" xfId="14453" xr:uid="{00000000-0005-0000-0000-000042390000}"/>
    <cellStyle name="SAPBEXHLevel1X 23 3" xfId="14454" xr:uid="{00000000-0005-0000-0000-000043390000}"/>
    <cellStyle name="SAPBEXHLevel1X 23 4" xfId="14455" xr:uid="{00000000-0005-0000-0000-000044390000}"/>
    <cellStyle name="SAPBEXHLevel1X 23 5" xfId="14456" xr:uid="{00000000-0005-0000-0000-000045390000}"/>
    <cellStyle name="SAPBEXHLevel1X 23 6" xfId="14457" xr:uid="{00000000-0005-0000-0000-000046390000}"/>
    <cellStyle name="SAPBEXHLevel1X 24" xfId="14458" xr:uid="{00000000-0005-0000-0000-000047390000}"/>
    <cellStyle name="SAPBEXHLevel1X 24 2" xfId="14459" xr:uid="{00000000-0005-0000-0000-000048390000}"/>
    <cellStyle name="SAPBEXHLevel1X 24 3" xfId="14460" xr:uid="{00000000-0005-0000-0000-000049390000}"/>
    <cellStyle name="SAPBEXHLevel1X 24 4" xfId="14461" xr:uid="{00000000-0005-0000-0000-00004A390000}"/>
    <cellStyle name="SAPBEXHLevel1X 24 5" xfId="14462" xr:uid="{00000000-0005-0000-0000-00004B390000}"/>
    <cellStyle name="SAPBEXHLevel1X 24 6" xfId="14463" xr:uid="{00000000-0005-0000-0000-00004C390000}"/>
    <cellStyle name="SAPBEXHLevel1X 25" xfId="14464" xr:uid="{00000000-0005-0000-0000-00004D390000}"/>
    <cellStyle name="SAPBEXHLevel1X 25 2" xfId="14465" xr:uid="{00000000-0005-0000-0000-00004E390000}"/>
    <cellStyle name="SAPBEXHLevel1X 25 3" xfId="14466" xr:uid="{00000000-0005-0000-0000-00004F390000}"/>
    <cellStyle name="SAPBEXHLevel1X 25 4" xfId="14467" xr:uid="{00000000-0005-0000-0000-000050390000}"/>
    <cellStyle name="SAPBEXHLevel1X 25 5" xfId="14468" xr:uid="{00000000-0005-0000-0000-000051390000}"/>
    <cellStyle name="SAPBEXHLevel1X 25 6" xfId="14469" xr:uid="{00000000-0005-0000-0000-000052390000}"/>
    <cellStyle name="SAPBEXHLevel1X 26" xfId="14470" xr:uid="{00000000-0005-0000-0000-000053390000}"/>
    <cellStyle name="SAPBEXHLevel1X 26 2" xfId="14471" xr:uid="{00000000-0005-0000-0000-000054390000}"/>
    <cellStyle name="SAPBEXHLevel1X 26 3" xfId="14472" xr:uid="{00000000-0005-0000-0000-000055390000}"/>
    <cellStyle name="SAPBEXHLevel1X 26 4" xfId="14473" xr:uid="{00000000-0005-0000-0000-000056390000}"/>
    <cellStyle name="SAPBEXHLevel1X 26 5" xfId="14474" xr:uid="{00000000-0005-0000-0000-000057390000}"/>
    <cellStyle name="SAPBEXHLevel1X 26 6" xfId="14475" xr:uid="{00000000-0005-0000-0000-000058390000}"/>
    <cellStyle name="SAPBEXHLevel1X 27" xfId="14476" xr:uid="{00000000-0005-0000-0000-000059390000}"/>
    <cellStyle name="SAPBEXHLevel1X 27 2" xfId="14477" xr:uid="{00000000-0005-0000-0000-00005A390000}"/>
    <cellStyle name="SAPBEXHLevel1X 27 3" xfId="14478" xr:uid="{00000000-0005-0000-0000-00005B390000}"/>
    <cellStyle name="SAPBEXHLevel1X 27 4" xfId="14479" xr:uid="{00000000-0005-0000-0000-00005C390000}"/>
    <cellStyle name="SAPBEXHLevel1X 27 5" xfId="14480" xr:uid="{00000000-0005-0000-0000-00005D390000}"/>
    <cellStyle name="SAPBEXHLevel1X 27 6" xfId="14481" xr:uid="{00000000-0005-0000-0000-00005E390000}"/>
    <cellStyle name="SAPBEXHLevel1X 28" xfId="14482" xr:uid="{00000000-0005-0000-0000-00005F390000}"/>
    <cellStyle name="SAPBEXHLevel1X 28 2" xfId="14483" xr:uid="{00000000-0005-0000-0000-000060390000}"/>
    <cellStyle name="SAPBEXHLevel1X 28 3" xfId="14484" xr:uid="{00000000-0005-0000-0000-000061390000}"/>
    <cellStyle name="SAPBEXHLevel1X 28 4" xfId="14485" xr:uid="{00000000-0005-0000-0000-000062390000}"/>
    <cellStyle name="SAPBEXHLevel1X 28 5" xfId="14486" xr:uid="{00000000-0005-0000-0000-000063390000}"/>
    <cellStyle name="SAPBEXHLevel1X 28 6" xfId="14487" xr:uid="{00000000-0005-0000-0000-000064390000}"/>
    <cellStyle name="SAPBEXHLevel1X 29" xfId="14488" xr:uid="{00000000-0005-0000-0000-000065390000}"/>
    <cellStyle name="SAPBEXHLevel1X 29 2" xfId="14489" xr:uid="{00000000-0005-0000-0000-000066390000}"/>
    <cellStyle name="SAPBEXHLevel1X 29 3" xfId="14490" xr:uid="{00000000-0005-0000-0000-000067390000}"/>
    <cellStyle name="SAPBEXHLevel1X 29 4" xfId="14491" xr:uid="{00000000-0005-0000-0000-000068390000}"/>
    <cellStyle name="SAPBEXHLevel1X 29 5" xfId="14492" xr:uid="{00000000-0005-0000-0000-000069390000}"/>
    <cellStyle name="SAPBEXHLevel1X 29 6" xfId="14493" xr:uid="{00000000-0005-0000-0000-00006A390000}"/>
    <cellStyle name="SAPBEXHLevel1X 3" xfId="14494" xr:uid="{00000000-0005-0000-0000-00006B390000}"/>
    <cellStyle name="SAPBEXHLevel1X 3 10" xfId="14495" xr:uid="{00000000-0005-0000-0000-00006C390000}"/>
    <cellStyle name="SAPBEXHLevel1X 3 11" xfId="14496" xr:uid="{00000000-0005-0000-0000-00006D390000}"/>
    <cellStyle name="SAPBEXHLevel1X 3 2" xfId="14497" xr:uid="{00000000-0005-0000-0000-00006E390000}"/>
    <cellStyle name="SAPBEXHLevel1X 3 2 2" xfId="14498" xr:uid="{00000000-0005-0000-0000-00006F390000}"/>
    <cellStyle name="SAPBEXHLevel1X 3 2 3" xfId="14499" xr:uid="{00000000-0005-0000-0000-000070390000}"/>
    <cellStyle name="SAPBEXHLevel1X 3 2 4" xfId="14500" xr:uid="{00000000-0005-0000-0000-000071390000}"/>
    <cellStyle name="SAPBEXHLevel1X 3 2 5" xfId="14501" xr:uid="{00000000-0005-0000-0000-000072390000}"/>
    <cellStyle name="SAPBEXHLevel1X 3 2 6" xfId="14502" xr:uid="{00000000-0005-0000-0000-000073390000}"/>
    <cellStyle name="SAPBEXHLevel1X 3 3" xfId="14503" xr:uid="{00000000-0005-0000-0000-000074390000}"/>
    <cellStyle name="SAPBEXHLevel1X 3 3 2" xfId="14504" xr:uid="{00000000-0005-0000-0000-000075390000}"/>
    <cellStyle name="SAPBEXHLevel1X 3 3 3" xfId="14505" xr:uid="{00000000-0005-0000-0000-000076390000}"/>
    <cellStyle name="SAPBEXHLevel1X 3 3 4" xfId="14506" xr:uid="{00000000-0005-0000-0000-000077390000}"/>
    <cellStyle name="SAPBEXHLevel1X 3 3 5" xfId="14507" xr:uid="{00000000-0005-0000-0000-000078390000}"/>
    <cellStyle name="SAPBEXHLevel1X 3 3 6" xfId="14508" xr:uid="{00000000-0005-0000-0000-000079390000}"/>
    <cellStyle name="SAPBEXHLevel1X 3 4" xfId="14509" xr:uid="{00000000-0005-0000-0000-00007A390000}"/>
    <cellStyle name="SAPBEXHLevel1X 3 4 2" xfId="14510" xr:uid="{00000000-0005-0000-0000-00007B390000}"/>
    <cellStyle name="SAPBEXHLevel1X 3 4 3" xfId="14511" xr:uid="{00000000-0005-0000-0000-00007C390000}"/>
    <cellStyle name="SAPBEXHLevel1X 3 4 4" xfId="14512" xr:uid="{00000000-0005-0000-0000-00007D390000}"/>
    <cellStyle name="SAPBEXHLevel1X 3 4 5" xfId="14513" xr:uid="{00000000-0005-0000-0000-00007E390000}"/>
    <cellStyle name="SAPBEXHLevel1X 3 4 6" xfId="14514" xr:uid="{00000000-0005-0000-0000-00007F390000}"/>
    <cellStyle name="SAPBEXHLevel1X 3 5" xfId="14515" xr:uid="{00000000-0005-0000-0000-000080390000}"/>
    <cellStyle name="SAPBEXHLevel1X 3 5 2" xfId="14516" xr:uid="{00000000-0005-0000-0000-000081390000}"/>
    <cellStyle name="SAPBEXHLevel1X 3 5 3" xfId="14517" xr:uid="{00000000-0005-0000-0000-000082390000}"/>
    <cellStyle name="SAPBEXHLevel1X 3 5 4" xfId="14518" xr:uid="{00000000-0005-0000-0000-000083390000}"/>
    <cellStyle name="SAPBEXHLevel1X 3 5 5" xfId="14519" xr:uid="{00000000-0005-0000-0000-000084390000}"/>
    <cellStyle name="SAPBEXHLevel1X 3 5 6" xfId="14520" xr:uid="{00000000-0005-0000-0000-000085390000}"/>
    <cellStyle name="SAPBEXHLevel1X 3 6" xfId="14521" xr:uid="{00000000-0005-0000-0000-000086390000}"/>
    <cellStyle name="SAPBEXHLevel1X 3 6 2" xfId="14522" xr:uid="{00000000-0005-0000-0000-000087390000}"/>
    <cellStyle name="SAPBEXHLevel1X 3 6 3" xfId="14523" xr:uid="{00000000-0005-0000-0000-000088390000}"/>
    <cellStyle name="SAPBEXHLevel1X 3 6 4" xfId="14524" xr:uid="{00000000-0005-0000-0000-000089390000}"/>
    <cellStyle name="SAPBEXHLevel1X 3 6 5" xfId="14525" xr:uid="{00000000-0005-0000-0000-00008A390000}"/>
    <cellStyle name="SAPBEXHLevel1X 3 6 6" xfId="14526" xr:uid="{00000000-0005-0000-0000-00008B390000}"/>
    <cellStyle name="SAPBEXHLevel1X 3 7" xfId="14527" xr:uid="{00000000-0005-0000-0000-00008C390000}"/>
    <cellStyle name="SAPBEXHLevel1X 3 8" xfId="14528" xr:uid="{00000000-0005-0000-0000-00008D390000}"/>
    <cellStyle name="SAPBEXHLevel1X 3 9" xfId="14529" xr:uid="{00000000-0005-0000-0000-00008E390000}"/>
    <cellStyle name="SAPBEXHLevel1X 30" xfId="14530" xr:uid="{00000000-0005-0000-0000-00008F390000}"/>
    <cellStyle name="SAPBEXHLevel1X 30 2" xfId="14531" xr:uid="{00000000-0005-0000-0000-000090390000}"/>
    <cellStyle name="SAPBEXHLevel1X 30 3" xfId="14532" xr:uid="{00000000-0005-0000-0000-000091390000}"/>
    <cellStyle name="SAPBEXHLevel1X 30 4" xfId="14533" xr:uid="{00000000-0005-0000-0000-000092390000}"/>
    <cellStyle name="SAPBEXHLevel1X 30 5" xfId="14534" xr:uid="{00000000-0005-0000-0000-000093390000}"/>
    <cellStyle name="SAPBEXHLevel1X 30 6" xfId="14535" xr:uid="{00000000-0005-0000-0000-000094390000}"/>
    <cellStyle name="SAPBEXHLevel1X 31" xfId="14536" xr:uid="{00000000-0005-0000-0000-000095390000}"/>
    <cellStyle name="SAPBEXHLevel1X 31 2" xfId="14537" xr:uid="{00000000-0005-0000-0000-000096390000}"/>
    <cellStyle name="SAPBEXHLevel1X 31 3" xfId="14538" xr:uid="{00000000-0005-0000-0000-000097390000}"/>
    <cellStyle name="SAPBEXHLevel1X 31 4" xfId="14539" xr:uid="{00000000-0005-0000-0000-000098390000}"/>
    <cellStyle name="SAPBEXHLevel1X 31 5" xfId="14540" xr:uid="{00000000-0005-0000-0000-000099390000}"/>
    <cellStyle name="SAPBEXHLevel1X 31 6" xfId="14541" xr:uid="{00000000-0005-0000-0000-00009A390000}"/>
    <cellStyle name="SAPBEXHLevel1X 32" xfId="14542" xr:uid="{00000000-0005-0000-0000-00009B390000}"/>
    <cellStyle name="SAPBEXHLevel1X 32 2" xfId="14543" xr:uid="{00000000-0005-0000-0000-00009C390000}"/>
    <cellStyle name="SAPBEXHLevel1X 32 3" xfId="14544" xr:uid="{00000000-0005-0000-0000-00009D390000}"/>
    <cellStyle name="SAPBEXHLevel1X 32 4" xfId="14545" xr:uid="{00000000-0005-0000-0000-00009E390000}"/>
    <cellStyle name="SAPBEXHLevel1X 32 5" xfId="14546" xr:uid="{00000000-0005-0000-0000-00009F390000}"/>
    <cellStyle name="SAPBEXHLevel1X 32 6" xfId="14547" xr:uid="{00000000-0005-0000-0000-0000A0390000}"/>
    <cellStyle name="SAPBEXHLevel1X 33" xfId="14548" xr:uid="{00000000-0005-0000-0000-0000A1390000}"/>
    <cellStyle name="SAPBEXHLevel1X 34" xfId="14549" xr:uid="{00000000-0005-0000-0000-0000A2390000}"/>
    <cellStyle name="SAPBEXHLevel1X 35" xfId="14550" xr:uid="{00000000-0005-0000-0000-0000A3390000}"/>
    <cellStyle name="SAPBEXHLevel1X 36" xfId="14551" xr:uid="{00000000-0005-0000-0000-0000A4390000}"/>
    <cellStyle name="SAPBEXHLevel1X 37" xfId="14552" xr:uid="{00000000-0005-0000-0000-0000A5390000}"/>
    <cellStyle name="SAPBEXHLevel1X 38" xfId="14553" xr:uid="{00000000-0005-0000-0000-0000A6390000}"/>
    <cellStyle name="SAPBEXHLevel1X 39" xfId="14554" xr:uid="{00000000-0005-0000-0000-0000A7390000}"/>
    <cellStyle name="SAPBEXHLevel1X 4" xfId="14555" xr:uid="{00000000-0005-0000-0000-0000A8390000}"/>
    <cellStyle name="SAPBEXHLevel1X 4 10" xfId="14556" xr:uid="{00000000-0005-0000-0000-0000A9390000}"/>
    <cellStyle name="SAPBEXHLevel1X 4 10 2" xfId="14557" xr:uid="{00000000-0005-0000-0000-0000AA390000}"/>
    <cellStyle name="SAPBEXHLevel1X 4 10 3" xfId="14558" xr:uid="{00000000-0005-0000-0000-0000AB390000}"/>
    <cellStyle name="SAPBEXHLevel1X 4 10 4" xfId="14559" xr:uid="{00000000-0005-0000-0000-0000AC390000}"/>
    <cellStyle name="SAPBEXHLevel1X 4 11" xfId="14560" xr:uid="{00000000-0005-0000-0000-0000AD390000}"/>
    <cellStyle name="SAPBEXHLevel1X 4 11 2" xfId="14561" xr:uid="{00000000-0005-0000-0000-0000AE390000}"/>
    <cellStyle name="SAPBEXHLevel1X 4 11 3" xfId="14562" xr:uid="{00000000-0005-0000-0000-0000AF390000}"/>
    <cellStyle name="SAPBEXHLevel1X 4 11 4" xfId="14563" xr:uid="{00000000-0005-0000-0000-0000B0390000}"/>
    <cellStyle name="SAPBEXHLevel1X 4 12" xfId="14564" xr:uid="{00000000-0005-0000-0000-0000B1390000}"/>
    <cellStyle name="SAPBEXHLevel1X 4 12 2" xfId="14565" xr:uid="{00000000-0005-0000-0000-0000B2390000}"/>
    <cellStyle name="SAPBEXHLevel1X 4 12 3" xfId="14566" xr:uid="{00000000-0005-0000-0000-0000B3390000}"/>
    <cellStyle name="SAPBEXHLevel1X 4 12 4" xfId="14567" xr:uid="{00000000-0005-0000-0000-0000B4390000}"/>
    <cellStyle name="SAPBEXHLevel1X 4 13" xfId="14568" xr:uid="{00000000-0005-0000-0000-0000B5390000}"/>
    <cellStyle name="SAPBEXHLevel1X 4 13 2" xfId="14569" xr:uid="{00000000-0005-0000-0000-0000B6390000}"/>
    <cellStyle name="SAPBEXHLevel1X 4 13 3" xfId="14570" xr:uid="{00000000-0005-0000-0000-0000B7390000}"/>
    <cellStyle name="SAPBEXHLevel1X 4 13 4" xfId="14571" xr:uid="{00000000-0005-0000-0000-0000B8390000}"/>
    <cellStyle name="SAPBEXHLevel1X 4 14" xfId="14572" xr:uid="{00000000-0005-0000-0000-0000B9390000}"/>
    <cellStyle name="SAPBEXHLevel1X 4 15" xfId="14573" xr:uid="{00000000-0005-0000-0000-0000BA390000}"/>
    <cellStyle name="SAPBEXHLevel1X 4 16" xfId="14574" xr:uid="{00000000-0005-0000-0000-0000BB390000}"/>
    <cellStyle name="SAPBEXHLevel1X 4 17" xfId="14575" xr:uid="{00000000-0005-0000-0000-0000BC390000}"/>
    <cellStyle name="SAPBEXHLevel1X 4 18" xfId="14576" xr:uid="{00000000-0005-0000-0000-0000BD390000}"/>
    <cellStyle name="SAPBEXHLevel1X 4 2" xfId="14577" xr:uid="{00000000-0005-0000-0000-0000BE390000}"/>
    <cellStyle name="SAPBEXHLevel1X 4 2 2" xfId="14578" xr:uid="{00000000-0005-0000-0000-0000BF390000}"/>
    <cellStyle name="SAPBEXHLevel1X 4 2 2 2" xfId="14579" xr:uid="{00000000-0005-0000-0000-0000C0390000}"/>
    <cellStyle name="SAPBEXHLevel1X 4 2 2 3" xfId="14580" xr:uid="{00000000-0005-0000-0000-0000C1390000}"/>
    <cellStyle name="SAPBEXHLevel1X 4 2 2 4" xfId="14581" xr:uid="{00000000-0005-0000-0000-0000C2390000}"/>
    <cellStyle name="SAPBEXHLevel1X 4 2 2 5" xfId="14582" xr:uid="{00000000-0005-0000-0000-0000C3390000}"/>
    <cellStyle name="SAPBEXHLevel1X 4 2 2 6" xfId="14583" xr:uid="{00000000-0005-0000-0000-0000C4390000}"/>
    <cellStyle name="SAPBEXHLevel1X 4 2 3" xfId="14584" xr:uid="{00000000-0005-0000-0000-0000C5390000}"/>
    <cellStyle name="SAPBEXHLevel1X 4 2 3 2" xfId="14585" xr:uid="{00000000-0005-0000-0000-0000C6390000}"/>
    <cellStyle name="SAPBEXHLevel1X 4 2 3 3" xfId="14586" xr:uid="{00000000-0005-0000-0000-0000C7390000}"/>
    <cellStyle name="SAPBEXHLevel1X 4 2 3 4" xfId="14587" xr:uid="{00000000-0005-0000-0000-0000C8390000}"/>
    <cellStyle name="SAPBEXHLevel1X 4 2 3 5" xfId="14588" xr:uid="{00000000-0005-0000-0000-0000C9390000}"/>
    <cellStyle name="SAPBEXHLevel1X 4 2 3 6" xfId="14589" xr:uid="{00000000-0005-0000-0000-0000CA390000}"/>
    <cellStyle name="SAPBEXHLevel1X 4 2 4" xfId="14590" xr:uid="{00000000-0005-0000-0000-0000CB390000}"/>
    <cellStyle name="SAPBEXHLevel1X 4 2 4 2" xfId="14591" xr:uid="{00000000-0005-0000-0000-0000CC390000}"/>
    <cellStyle name="SAPBEXHLevel1X 4 2 4 3" xfId="14592" xr:uid="{00000000-0005-0000-0000-0000CD390000}"/>
    <cellStyle name="SAPBEXHLevel1X 4 2 4 4" xfId="14593" xr:uid="{00000000-0005-0000-0000-0000CE390000}"/>
    <cellStyle name="SAPBEXHLevel1X 4 2 4 5" xfId="14594" xr:uid="{00000000-0005-0000-0000-0000CF390000}"/>
    <cellStyle name="SAPBEXHLevel1X 4 2 4 6" xfId="14595" xr:uid="{00000000-0005-0000-0000-0000D0390000}"/>
    <cellStyle name="SAPBEXHLevel1X 4 2 5" xfId="14596" xr:uid="{00000000-0005-0000-0000-0000D1390000}"/>
    <cellStyle name="SAPBEXHLevel1X 4 2 5 2" xfId="14597" xr:uid="{00000000-0005-0000-0000-0000D2390000}"/>
    <cellStyle name="SAPBEXHLevel1X 4 2 5 3" xfId="14598" xr:uid="{00000000-0005-0000-0000-0000D3390000}"/>
    <cellStyle name="SAPBEXHLevel1X 4 2 5 4" xfId="14599" xr:uid="{00000000-0005-0000-0000-0000D4390000}"/>
    <cellStyle name="SAPBEXHLevel1X 4 2 5 5" xfId="14600" xr:uid="{00000000-0005-0000-0000-0000D5390000}"/>
    <cellStyle name="SAPBEXHLevel1X 4 2 5 6" xfId="14601" xr:uid="{00000000-0005-0000-0000-0000D6390000}"/>
    <cellStyle name="SAPBEXHLevel1X 4 2 6" xfId="14602" xr:uid="{00000000-0005-0000-0000-0000D7390000}"/>
    <cellStyle name="SAPBEXHLevel1X 4 2 7" xfId="14603" xr:uid="{00000000-0005-0000-0000-0000D8390000}"/>
    <cellStyle name="SAPBEXHLevel1X 4 2 8" xfId="14604" xr:uid="{00000000-0005-0000-0000-0000D9390000}"/>
    <cellStyle name="SAPBEXHLevel1X 4 3" xfId="14605" xr:uid="{00000000-0005-0000-0000-0000DA390000}"/>
    <cellStyle name="SAPBEXHLevel1X 4 3 2" xfId="14606" xr:uid="{00000000-0005-0000-0000-0000DB390000}"/>
    <cellStyle name="SAPBEXHLevel1X 4 3 2 2" xfId="14607" xr:uid="{00000000-0005-0000-0000-0000DC390000}"/>
    <cellStyle name="SAPBEXHLevel1X 4 3 2 3" xfId="14608" xr:uid="{00000000-0005-0000-0000-0000DD390000}"/>
    <cellStyle name="SAPBEXHLevel1X 4 3 2 4" xfId="14609" xr:uid="{00000000-0005-0000-0000-0000DE390000}"/>
    <cellStyle name="SAPBEXHLevel1X 4 3 2 5" xfId="14610" xr:uid="{00000000-0005-0000-0000-0000DF390000}"/>
    <cellStyle name="SAPBEXHLevel1X 4 3 2 6" xfId="14611" xr:uid="{00000000-0005-0000-0000-0000E0390000}"/>
    <cellStyle name="SAPBEXHLevel1X 4 3 3" xfId="14612" xr:uid="{00000000-0005-0000-0000-0000E1390000}"/>
    <cellStyle name="SAPBEXHLevel1X 4 3 3 2" xfId="14613" xr:uid="{00000000-0005-0000-0000-0000E2390000}"/>
    <cellStyle name="SAPBEXHLevel1X 4 3 3 3" xfId="14614" xr:uid="{00000000-0005-0000-0000-0000E3390000}"/>
    <cellStyle name="SAPBEXHLevel1X 4 3 3 4" xfId="14615" xr:uid="{00000000-0005-0000-0000-0000E4390000}"/>
    <cellStyle name="SAPBEXHLevel1X 4 3 3 5" xfId="14616" xr:uid="{00000000-0005-0000-0000-0000E5390000}"/>
    <cellStyle name="SAPBEXHLevel1X 4 3 3 6" xfId="14617" xr:uid="{00000000-0005-0000-0000-0000E6390000}"/>
    <cellStyle name="SAPBEXHLevel1X 4 3 4" xfId="14618" xr:uid="{00000000-0005-0000-0000-0000E7390000}"/>
    <cellStyle name="SAPBEXHLevel1X 4 3 4 2" xfId="14619" xr:uid="{00000000-0005-0000-0000-0000E8390000}"/>
    <cellStyle name="SAPBEXHLevel1X 4 3 4 3" xfId="14620" xr:uid="{00000000-0005-0000-0000-0000E9390000}"/>
    <cellStyle name="SAPBEXHLevel1X 4 3 4 4" xfId="14621" xr:uid="{00000000-0005-0000-0000-0000EA390000}"/>
    <cellStyle name="SAPBEXHLevel1X 4 3 4 5" xfId="14622" xr:uid="{00000000-0005-0000-0000-0000EB390000}"/>
    <cellStyle name="SAPBEXHLevel1X 4 3 4 6" xfId="14623" xr:uid="{00000000-0005-0000-0000-0000EC390000}"/>
    <cellStyle name="SAPBEXHLevel1X 4 3 5" xfId="14624" xr:uid="{00000000-0005-0000-0000-0000ED390000}"/>
    <cellStyle name="SAPBEXHLevel1X 4 3 5 2" xfId="14625" xr:uid="{00000000-0005-0000-0000-0000EE390000}"/>
    <cellStyle name="SAPBEXHLevel1X 4 3 5 3" xfId="14626" xr:uid="{00000000-0005-0000-0000-0000EF390000}"/>
    <cellStyle name="SAPBEXHLevel1X 4 3 5 4" xfId="14627" xr:uid="{00000000-0005-0000-0000-0000F0390000}"/>
    <cellStyle name="SAPBEXHLevel1X 4 3 5 5" xfId="14628" xr:uid="{00000000-0005-0000-0000-0000F1390000}"/>
    <cellStyle name="SAPBEXHLevel1X 4 3 5 6" xfId="14629" xr:uid="{00000000-0005-0000-0000-0000F2390000}"/>
    <cellStyle name="SAPBEXHLevel1X 4 3 6" xfId="14630" xr:uid="{00000000-0005-0000-0000-0000F3390000}"/>
    <cellStyle name="SAPBEXHLevel1X 4 3 7" xfId="14631" xr:uid="{00000000-0005-0000-0000-0000F4390000}"/>
    <cellStyle name="SAPBEXHLevel1X 4 3 8" xfId="14632" xr:uid="{00000000-0005-0000-0000-0000F5390000}"/>
    <cellStyle name="SAPBEXHLevel1X 4 4" xfId="14633" xr:uid="{00000000-0005-0000-0000-0000F6390000}"/>
    <cellStyle name="SAPBEXHLevel1X 4 4 2" xfId="14634" xr:uid="{00000000-0005-0000-0000-0000F7390000}"/>
    <cellStyle name="SAPBEXHLevel1X 4 4 2 2" xfId="14635" xr:uid="{00000000-0005-0000-0000-0000F8390000}"/>
    <cellStyle name="SAPBEXHLevel1X 4 4 2 3" xfId="14636" xr:uid="{00000000-0005-0000-0000-0000F9390000}"/>
    <cellStyle name="SAPBEXHLevel1X 4 4 2 4" xfId="14637" xr:uid="{00000000-0005-0000-0000-0000FA390000}"/>
    <cellStyle name="SAPBEXHLevel1X 4 4 2 5" xfId="14638" xr:uid="{00000000-0005-0000-0000-0000FB390000}"/>
    <cellStyle name="SAPBEXHLevel1X 4 4 2 6" xfId="14639" xr:uid="{00000000-0005-0000-0000-0000FC390000}"/>
    <cellStyle name="SAPBEXHLevel1X 4 4 3" xfId="14640" xr:uid="{00000000-0005-0000-0000-0000FD390000}"/>
    <cellStyle name="SAPBEXHLevel1X 4 4 3 2" xfId="14641" xr:uid="{00000000-0005-0000-0000-0000FE390000}"/>
    <cellStyle name="SAPBEXHLevel1X 4 4 3 3" xfId="14642" xr:uid="{00000000-0005-0000-0000-0000FF390000}"/>
    <cellStyle name="SAPBEXHLevel1X 4 4 3 4" xfId="14643" xr:uid="{00000000-0005-0000-0000-0000003A0000}"/>
    <cellStyle name="SAPBEXHLevel1X 4 4 3 5" xfId="14644" xr:uid="{00000000-0005-0000-0000-0000013A0000}"/>
    <cellStyle name="SAPBEXHLevel1X 4 4 3 6" xfId="14645" xr:uid="{00000000-0005-0000-0000-0000023A0000}"/>
    <cellStyle name="SAPBEXHLevel1X 4 4 4" xfId="14646" xr:uid="{00000000-0005-0000-0000-0000033A0000}"/>
    <cellStyle name="SAPBEXHLevel1X 4 4 4 2" xfId="14647" xr:uid="{00000000-0005-0000-0000-0000043A0000}"/>
    <cellStyle name="SAPBEXHLevel1X 4 4 4 3" xfId="14648" xr:uid="{00000000-0005-0000-0000-0000053A0000}"/>
    <cellStyle name="SAPBEXHLevel1X 4 4 4 4" xfId="14649" xr:uid="{00000000-0005-0000-0000-0000063A0000}"/>
    <cellStyle name="SAPBEXHLevel1X 4 4 4 5" xfId="14650" xr:uid="{00000000-0005-0000-0000-0000073A0000}"/>
    <cellStyle name="SAPBEXHLevel1X 4 4 4 6" xfId="14651" xr:uid="{00000000-0005-0000-0000-0000083A0000}"/>
    <cellStyle name="SAPBEXHLevel1X 4 4 5" xfId="14652" xr:uid="{00000000-0005-0000-0000-0000093A0000}"/>
    <cellStyle name="SAPBEXHLevel1X 4 4 5 2" xfId="14653" xr:uid="{00000000-0005-0000-0000-00000A3A0000}"/>
    <cellStyle name="SAPBEXHLevel1X 4 4 5 3" xfId="14654" xr:uid="{00000000-0005-0000-0000-00000B3A0000}"/>
    <cellStyle name="SAPBEXHLevel1X 4 4 5 4" xfId="14655" xr:uid="{00000000-0005-0000-0000-00000C3A0000}"/>
    <cellStyle name="SAPBEXHLevel1X 4 4 5 5" xfId="14656" xr:uid="{00000000-0005-0000-0000-00000D3A0000}"/>
    <cellStyle name="SAPBEXHLevel1X 4 4 5 6" xfId="14657" xr:uid="{00000000-0005-0000-0000-00000E3A0000}"/>
    <cellStyle name="SAPBEXHLevel1X 4 4 6" xfId="14658" xr:uid="{00000000-0005-0000-0000-00000F3A0000}"/>
    <cellStyle name="SAPBEXHLevel1X 4 4 7" xfId="14659" xr:uid="{00000000-0005-0000-0000-0000103A0000}"/>
    <cellStyle name="SAPBEXHLevel1X 4 4 8" xfId="14660" xr:uid="{00000000-0005-0000-0000-0000113A0000}"/>
    <cellStyle name="SAPBEXHLevel1X 4 5" xfId="14661" xr:uid="{00000000-0005-0000-0000-0000123A0000}"/>
    <cellStyle name="SAPBEXHLevel1X 4 5 2" xfId="14662" xr:uid="{00000000-0005-0000-0000-0000133A0000}"/>
    <cellStyle name="SAPBEXHLevel1X 4 5 3" xfId="14663" xr:uid="{00000000-0005-0000-0000-0000143A0000}"/>
    <cellStyle name="SAPBEXHLevel1X 4 5 4" xfId="14664" xr:uid="{00000000-0005-0000-0000-0000153A0000}"/>
    <cellStyle name="SAPBEXHLevel1X 4 6" xfId="14665" xr:uid="{00000000-0005-0000-0000-0000163A0000}"/>
    <cellStyle name="SAPBEXHLevel1X 4 6 2" xfId="14666" xr:uid="{00000000-0005-0000-0000-0000173A0000}"/>
    <cellStyle name="SAPBEXHLevel1X 4 6 3" xfId="14667" xr:uid="{00000000-0005-0000-0000-0000183A0000}"/>
    <cellStyle name="SAPBEXHLevel1X 4 6 4" xfId="14668" xr:uid="{00000000-0005-0000-0000-0000193A0000}"/>
    <cellStyle name="SAPBEXHLevel1X 4 7" xfId="14669" xr:uid="{00000000-0005-0000-0000-00001A3A0000}"/>
    <cellStyle name="SAPBEXHLevel1X 4 7 2" xfId="14670" xr:uid="{00000000-0005-0000-0000-00001B3A0000}"/>
    <cellStyle name="SAPBEXHLevel1X 4 7 3" xfId="14671" xr:uid="{00000000-0005-0000-0000-00001C3A0000}"/>
    <cellStyle name="SAPBEXHLevel1X 4 7 4" xfId="14672" xr:uid="{00000000-0005-0000-0000-00001D3A0000}"/>
    <cellStyle name="SAPBEXHLevel1X 4 8" xfId="14673" xr:uid="{00000000-0005-0000-0000-00001E3A0000}"/>
    <cellStyle name="SAPBEXHLevel1X 4 8 2" xfId="14674" xr:uid="{00000000-0005-0000-0000-00001F3A0000}"/>
    <cellStyle name="SAPBEXHLevel1X 4 8 3" xfId="14675" xr:uid="{00000000-0005-0000-0000-0000203A0000}"/>
    <cellStyle name="SAPBEXHLevel1X 4 8 4" xfId="14676" xr:uid="{00000000-0005-0000-0000-0000213A0000}"/>
    <cellStyle name="SAPBEXHLevel1X 4 9" xfId="14677" xr:uid="{00000000-0005-0000-0000-0000223A0000}"/>
    <cellStyle name="SAPBEXHLevel1X 4 9 2" xfId="14678" xr:uid="{00000000-0005-0000-0000-0000233A0000}"/>
    <cellStyle name="SAPBEXHLevel1X 4 9 3" xfId="14679" xr:uid="{00000000-0005-0000-0000-0000243A0000}"/>
    <cellStyle name="SAPBEXHLevel1X 4 9 4" xfId="14680" xr:uid="{00000000-0005-0000-0000-0000253A0000}"/>
    <cellStyle name="SAPBEXHLevel1X 40" xfId="14681" xr:uid="{00000000-0005-0000-0000-0000263A0000}"/>
    <cellStyle name="SAPBEXHLevel1X 41" xfId="14682" xr:uid="{00000000-0005-0000-0000-0000273A0000}"/>
    <cellStyle name="SAPBEXHLevel1X 42" xfId="14683" xr:uid="{00000000-0005-0000-0000-0000283A0000}"/>
    <cellStyle name="SAPBEXHLevel1X 43" xfId="14684" xr:uid="{00000000-0005-0000-0000-0000293A0000}"/>
    <cellStyle name="SAPBEXHLevel1X 44" xfId="14685" xr:uid="{00000000-0005-0000-0000-00002A3A0000}"/>
    <cellStyle name="SAPBEXHLevel1X 45" xfId="14686" xr:uid="{00000000-0005-0000-0000-00002B3A0000}"/>
    <cellStyle name="SAPBEXHLevel1X 46" xfId="14687" xr:uid="{00000000-0005-0000-0000-00002C3A0000}"/>
    <cellStyle name="SAPBEXHLevel1X 47" xfId="14688" xr:uid="{00000000-0005-0000-0000-00002D3A0000}"/>
    <cellStyle name="SAPBEXHLevel1X 48" xfId="14689" xr:uid="{00000000-0005-0000-0000-00002E3A0000}"/>
    <cellStyle name="SAPBEXHLevel1X 49" xfId="14690" xr:uid="{00000000-0005-0000-0000-00002F3A0000}"/>
    <cellStyle name="SAPBEXHLevel1X 5" xfId="14691" xr:uid="{00000000-0005-0000-0000-0000303A0000}"/>
    <cellStyle name="SAPBEXHLevel1X 5 10" xfId="14692" xr:uid="{00000000-0005-0000-0000-0000313A0000}"/>
    <cellStyle name="SAPBEXHLevel1X 5 11" xfId="14693" xr:uid="{00000000-0005-0000-0000-0000323A0000}"/>
    <cellStyle name="SAPBEXHLevel1X 5 12" xfId="14694" xr:uid="{00000000-0005-0000-0000-0000333A0000}"/>
    <cellStyle name="SAPBEXHLevel1X 5 2" xfId="14695" xr:uid="{00000000-0005-0000-0000-0000343A0000}"/>
    <cellStyle name="SAPBEXHLevel1X 5 2 2" xfId="14696" xr:uid="{00000000-0005-0000-0000-0000353A0000}"/>
    <cellStyle name="SAPBEXHLevel1X 5 2 2 2" xfId="14697" xr:uid="{00000000-0005-0000-0000-0000363A0000}"/>
    <cellStyle name="SAPBEXHLevel1X 5 2 2 3" xfId="14698" xr:uid="{00000000-0005-0000-0000-0000373A0000}"/>
    <cellStyle name="SAPBEXHLevel1X 5 2 2 4" xfId="14699" xr:uid="{00000000-0005-0000-0000-0000383A0000}"/>
    <cellStyle name="SAPBEXHLevel1X 5 2 2 5" xfId="14700" xr:uid="{00000000-0005-0000-0000-0000393A0000}"/>
    <cellStyle name="SAPBEXHLevel1X 5 2 2 6" xfId="14701" xr:uid="{00000000-0005-0000-0000-00003A3A0000}"/>
    <cellStyle name="SAPBEXHLevel1X 5 2 3" xfId="14702" xr:uid="{00000000-0005-0000-0000-00003B3A0000}"/>
    <cellStyle name="SAPBEXHLevel1X 5 2 3 2" xfId="14703" xr:uid="{00000000-0005-0000-0000-00003C3A0000}"/>
    <cellStyle name="SAPBEXHLevel1X 5 2 3 3" xfId="14704" xr:uid="{00000000-0005-0000-0000-00003D3A0000}"/>
    <cellStyle name="SAPBEXHLevel1X 5 2 3 4" xfId="14705" xr:uid="{00000000-0005-0000-0000-00003E3A0000}"/>
    <cellStyle name="SAPBEXHLevel1X 5 2 3 5" xfId="14706" xr:uid="{00000000-0005-0000-0000-00003F3A0000}"/>
    <cellStyle name="SAPBEXHLevel1X 5 2 3 6" xfId="14707" xr:uid="{00000000-0005-0000-0000-0000403A0000}"/>
    <cellStyle name="SAPBEXHLevel1X 5 2 4" xfId="14708" xr:uid="{00000000-0005-0000-0000-0000413A0000}"/>
    <cellStyle name="SAPBEXHLevel1X 5 2 4 2" xfId="14709" xr:uid="{00000000-0005-0000-0000-0000423A0000}"/>
    <cellStyle name="SAPBEXHLevel1X 5 2 4 3" xfId="14710" xr:uid="{00000000-0005-0000-0000-0000433A0000}"/>
    <cellStyle name="SAPBEXHLevel1X 5 2 4 4" xfId="14711" xr:uid="{00000000-0005-0000-0000-0000443A0000}"/>
    <cellStyle name="SAPBEXHLevel1X 5 2 4 5" xfId="14712" xr:uid="{00000000-0005-0000-0000-0000453A0000}"/>
    <cellStyle name="SAPBEXHLevel1X 5 2 4 6" xfId="14713" xr:uid="{00000000-0005-0000-0000-0000463A0000}"/>
    <cellStyle name="SAPBEXHLevel1X 5 2 5" xfId="14714" xr:uid="{00000000-0005-0000-0000-0000473A0000}"/>
    <cellStyle name="SAPBEXHLevel1X 5 2 5 2" xfId="14715" xr:uid="{00000000-0005-0000-0000-0000483A0000}"/>
    <cellStyle name="SAPBEXHLevel1X 5 2 5 3" xfId="14716" xr:uid="{00000000-0005-0000-0000-0000493A0000}"/>
    <cellStyle name="SAPBEXHLevel1X 5 2 5 4" xfId="14717" xr:uid="{00000000-0005-0000-0000-00004A3A0000}"/>
    <cellStyle name="SAPBEXHLevel1X 5 2 5 5" xfId="14718" xr:uid="{00000000-0005-0000-0000-00004B3A0000}"/>
    <cellStyle name="SAPBEXHLevel1X 5 2 5 6" xfId="14719" xr:uid="{00000000-0005-0000-0000-00004C3A0000}"/>
    <cellStyle name="SAPBEXHLevel1X 5 2 6" xfId="14720" xr:uid="{00000000-0005-0000-0000-00004D3A0000}"/>
    <cellStyle name="SAPBEXHLevel1X 5 2 7" xfId="14721" xr:uid="{00000000-0005-0000-0000-00004E3A0000}"/>
    <cellStyle name="SAPBEXHLevel1X 5 2 8" xfId="14722" xr:uid="{00000000-0005-0000-0000-00004F3A0000}"/>
    <cellStyle name="SAPBEXHLevel1X 5 3" xfId="14723" xr:uid="{00000000-0005-0000-0000-0000503A0000}"/>
    <cellStyle name="SAPBEXHLevel1X 5 3 2" xfId="14724" xr:uid="{00000000-0005-0000-0000-0000513A0000}"/>
    <cellStyle name="SAPBEXHLevel1X 5 3 3" xfId="14725" xr:uid="{00000000-0005-0000-0000-0000523A0000}"/>
    <cellStyle name="SAPBEXHLevel1X 5 3 4" xfId="14726" xr:uid="{00000000-0005-0000-0000-0000533A0000}"/>
    <cellStyle name="SAPBEXHLevel1X 5 3 5" xfId="14727" xr:uid="{00000000-0005-0000-0000-0000543A0000}"/>
    <cellStyle name="SAPBEXHLevel1X 5 3 6" xfId="14728" xr:uid="{00000000-0005-0000-0000-0000553A0000}"/>
    <cellStyle name="SAPBEXHLevel1X 5 4" xfId="14729" xr:uid="{00000000-0005-0000-0000-0000563A0000}"/>
    <cellStyle name="SAPBEXHLevel1X 5 4 2" xfId="14730" xr:uid="{00000000-0005-0000-0000-0000573A0000}"/>
    <cellStyle name="SAPBEXHLevel1X 5 4 3" xfId="14731" xr:uid="{00000000-0005-0000-0000-0000583A0000}"/>
    <cellStyle name="SAPBEXHLevel1X 5 4 4" xfId="14732" xr:uid="{00000000-0005-0000-0000-0000593A0000}"/>
    <cellStyle name="SAPBEXHLevel1X 5 4 5" xfId="14733" xr:uid="{00000000-0005-0000-0000-00005A3A0000}"/>
    <cellStyle name="SAPBEXHLevel1X 5 4 6" xfId="14734" xr:uid="{00000000-0005-0000-0000-00005B3A0000}"/>
    <cellStyle name="SAPBEXHLevel1X 5 5" xfId="14735" xr:uid="{00000000-0005-0000-0000-00005C3A0000}"/>
    <cellStyle name="SAPBEXHLevel1X 5 5 2" xfId="14736" xr:uid="{00000000-0005-0000-0000-00005D3A0000}"/>
    <cellStyle name="SAPBEXHLevel1X 5 5 3" xfId="14737" xr:uid="{00000000-0005-0000-0000-00005E3A0000}"/>
    <cellStyle name="SAPBEXHLevel1X 5 5 4" xfId="14738" xr:uid="{00000000-0005-0000-0000-00005F3A0000}"/>
    <cellStyle name="SAPBEXHLevel1X 5 6" xfId="14739" xr:uid="{00000000-0005-0000-0000-0000603A0000}"/>
    <cellStyle name="SAPBEXHLevel1X 5 6 2" xfId="14740" xr:uid="{00000000-0005-0000-0000-0000613A0000}"/>
    <cellStyle name="SAPBEXHLevel1X 5 6 3" xfId="14741" xr:uid="{00000000-0005-0000-0000-0000623A0000}"/>
    <cellStyle name="SAPBEXHLevel1X 5 6 4" xfId="14742" xr:uid="{00000000-0005-0000-0000-0000633A0000}"/>
    <cellStyle name="SAPBEXHLevel1X 5 7" xfId="14743" xr:uid="{00000000-0005-0000-0000-0000643A0000}"/>
    <cellStyle name="SAPBEXHLevel1X 5 7 2" xfId="14744" xr:uid="{00000000-0005-0000-0000-0000653A0000}"/>
    <cellStyle name="SAPBEXHLevel1X 5 7 3" xfId="14745" xr:uid="{00000000-0005-0000-0000-0000663A0000}"/>
    <cellStyle name="SAPBEXHLevel1X 5 7 4" xfId="14746" xr:uid="{00000000-0005-0000-0000-0000673A0000}"/>
    <cellStyle name="SAPBEXHLevel1X 5 8" xfId="14747" xr:uid="{00000000-0005-0000-0000-0000683A0000}"/>
    <cellStyle name="SAPBEXHLevel1X 5 9" xfId="14748" xr:uid="{00000000-0005-0000-0000-0000693A0000}"/>
    <cellStyle name="SAPBEXHLevel1X 50" xfId="14749" xr:uid="{00000000-0005-0000-0000-00006A3A0000}"/>
    <cellStyle name="SAPBEXHLevel1X 51" xfId="14750" xr:uid="{00000000-0005-0000-0000-00006B3A0000}"/>
    <cellStyle name="SAPBEXHLevel1X 52" xfId="14751" xr:uid="{00000000-0005-0000-0000-00006C3A0000}"/>
    <cellStyle name="SAPBEXHLevel1X 53" xfId="14752" xr:uid="{00000000-0005-0000-0000-00006D3A0000}"/>
    <cellStyle name="SAPBEXHLevel1X 54" xfId="14753" xr:uid="{00000000-0005-0000-0000-00006E3A0000}"/>
    <cellStyle name="SAPBEXHLevel1X 55" xfId="14754" xr:uid="{00000000-0005-0000-0000-00006F3A0000}"/>
    <cellStyle name="SAPBEXHLevel1X 56" xfId="14755" xr:uid="{00000000-0005-0000-0000-0000703A0000}"/>
    <cellStyle name="SAPBEXHLevel1X 57" xfId="14756" xr:uid="{00000000-0005-0000-0000-0000713A0000}"/>
    <cellStyle name="SAPBEXHLevel1X 58" xfId="14757" xr:uid="{00000000-0005-0000-0000-0000723A0000}"/>
    <cellStyle name="SAPBEXHLevel1X 59" xfId="14758" xr:uid="{00000000-0005-0000-0000-0000733A0000}"/>
    <cellStyle name="SAPBEXHLevel1X 6" xfId="14759" xr:uid="{00000000-0005-0000-0000-0000743A0000}"/>
    <cellStyle name="SAPBEXHLevel1X 6 10" xfId="14760" xr:uid="{00000000-0005-0000-0000-0000753A0000}"/>
    <cellStyle name="SAPBEXHLevel1X 6 2" xfId="14761" xr:uid="{00000000-0005-0000-0000-0000763A0000}"/>
    <cellStyle name="SAPBEXHLevel1X 6 2 2" xfId="14762" xr:uid="{00000000-0005-0000-0000-0000773A0000}"/>
    <cellStyle name="SAPBEXHLevel1X 6 2 3" xfId="14763" xr:uid="{00000000-0005-0000-0000-0000783A0000}"/>
    <cellStyle name="SAPBEXHLevel1X 6 2 4" xfId="14764" xr:uid="{00000000-0005-0000-0000-0000793A0000}"/>
    <cellStyle name="SAPBEXHLevel1X 6 2 5" xfId="27840" xr:uid="{00000000-0005-0000-0000-00007A3A0000}"/>
    <cellStyle name="SAPBEXHLevel1X 6 3" xfId="14765" xr:uid="{00000000-0005-0000-0000-00007B3A0000}"/>
    <cellStyle name="SAPBEXHLevel1X 6 3 2" xfId="14766" xr:uid="{00000000-0005-0000-0000-00007C3A0000}"/>
    <cellStyle name="SAPBEXHLevel1X 6 3 3" xfId="14767" xr:uid="{00000000-0005-0000-0000-00007D3A0000}"/>
    <cellStyle name="SAPBEXHLevel1X 6 3 4" xfId="14768" xr:uid="{00000000-0005-0000-0000-00007E3A0000}"/>
    <cellStyle name="SAPBEXHLevel1X 6 4" xfId="14769" xr:uid="{00000000-0005-0000-0000-00007F3A0000}"/>
    <cellStyle name="SAPBEXHLevel1X 6 4 2" xfId="14770" xr:uid="{00000000-0005-0000-0000-0000803A0000}"/>
    <cellStyle name="SAPBEXHLevel1X 6 4 3" xfId="14771" xr:uid="{00000000-0005-0000-0000-0000813A0000}"/>
    <cellStyle name="SAPBEXHLevel1X 6 4 4" xfId="14772" xr:uid="{00000000-0005-0000-0000-0000823A0000}"/>
    <cellStyle name="SAPBEXHLevel1X 6 5" xfId="14773" xr:uid="{00000000-0005-0000-0000-0000833A0000}"/>
    <cellStyle name="SAPBEXHLevel1X 6 5 2" xfId="14774" xr:uid="{00000000-0005-0000-0000-0000843A0000}"/>
    <cellStyle name="SAPBEXHLevel1X 6 5 3" xfId="14775" xr:uid="{00000000-0005-0000-0000-0000853A0000}"/>
    <cellStyle name="SAPBEXHLevel1X 6 5 4" xfId="14776" xr:uid="{00000000-0005-0000-0000-0000863A0000}"/>
    <cellStyle name="SAPBEXHLevel1X 6 6" xfId="14777" xr:uid="{00000000-0005-0000-0000-0000873A0000}"/>
    <cellStyle name="SAPBEXHLevel1X 6 7" xfId="14778" xr:uid="{00000000-0005-0000-0000-0000883A0000}"/>
    <cellStyle name="SAPBEXHLevel1X 6 8" xfId="14779" xr:uid="{00000000-0005-0000-0000-0000893A0000}"/>
    <cellStyle name="SAPBEXHLevel1X 6 9" xfId="14780" xr:uid="{00000000-0005-0000-0000-00008A3A0000}"/>
    <cellStyle name="SAPBEXHLevel1X 60" xfId="14781" xr:uid="{00000000-0005-0000-0000-00008B3A0000}"/>
    <cellStyle name="SAPBEXHLevel1X 61" xfId="14782" xr:uid="{00000000-0005-0000-0000-00008C3A0000}"/>
    <cellStyle name="SAPBEXHLevel1X 62" xfId="14783" xr:uid="{00000000-0005-0000-0000-00008D3A0000}"/>
    <cellStyle name="SAPBEXHLevel1X 63" xfId="14784" xr:uid="{00000000-0005-0000-0000-00008E3A0000}"/>
    <cellStyle name="SAPBEXHLevel1X 64" xfId="14785" xr:uid="{00000000-0005-0000-0000-00008F3A0000}"/>
    <cellStyle name="SAPBEXHLevel1X 65" xfId="14786" xr:uid="{00000000-0005-0000-0000-0000903A0000}"/>
    <cellStyle name="SAPBEXHLevel1X 66" xfId="14787" xr:uid="{00000000-0005-0000-0000-0000913A0000}"/>
    <cellStyle name="SAPBEXHLevel1X 67" xfId="14788" xr:uid="{00000000-0005-0000-0000-0000923A0000}"/>
    <cellStyle name="SAPBEXHLevel1X 68" xfId="14789" xr:uid="{00000000-0005-0000-0000-0000933A0000}"/>
    <cellStyle name="SAPBEXHLevel1X 69" xfId="14790" xr:uid="{00000000-0005-0000-0000-0000943A0000}"/>
    <cellStyle name="SAPBEXHLevel1X 7" xfId="14791" xr:uid="{00000000-0005-0000-0000-0000953A0000}"/>
    <cellStyle name="SAPBEXHLevel1X 7 10" xfId="14792" xr:uid="{00000000-0005-0000-0000-0000963A0000}"/>
    <cellStyle name="SAPBEXHLevel1X 7 2" xfId="14793" xr:uid="{00000000-0005-0000-0000-0000973A0000}"/>
    <cellStyle name="SAPBEXHLevel1X 7 2 2" xfId="14794" xr:uid="{00000000-0005-0000-0000-0000983A0000}"/>
    <cellStyle name="SAPBEXHLevel1X 7 2 3" xfId="14795" xr:uid="{00000000-0005-0000-0000-0000993A0000}"/>
    <cellStyle name="SAPBEXHLevel1X 7 2 4" xfId="14796" xr:uid="{00000000-0005-0000-0000-00009A3A0000}"/>
    <cellStyle name="SAPBEXHLevel1X 7 2 5" xfId="27845" xr:uid="{00000000-0005-0000-0000-00009B3A0000}"/>
    <cellStyle name="SAPBEXHLevel1X 7 3" xfId="14797" xr:uid="{00000000-0005-0000-0000-00009C3A0000}"/>
    <cellStyle name="SAPBEXHLevel1X 7 3 2" xfId="14798" xr:uid="{00000000-0005-0000-0000-00009D3A0000}"/>
    <cellStyle name="SAPBEXHLevel1X 7 3 3" xfId="14799" xr:uid="{00000000-0005-0000-0000-00009E3A0000}"/>
    <cellStyle name="SAPBEXHLevel1X 7 3 4" xfId="14800" xr:uid="{00000000-0005-0000-0000-00009F3A0000}"/>
    <cellStyle name="SAPBEXHLevel1X 7 4" xfId="14801" xr:uid="{00000000-0005-0000-0000-0000A03A0000}"/>
    <cellStyle name="SAPBEXHLevel1X 7 4 2" xfId="14802" xr:uid="{00000000-0005-0000-0000-0000A13A0000}"/>
    <cellStyle name="SAPBEXHLevel1X 7 4 3" xfId="14803" xr:uid="{00000000-0005-0000-0000-0000A23A0000}"/>
    <cellStyle name="SAPBEXHLevel1X 7 4 4" xfId="14804" xr:uid="{00000000-0005-0000-0000-0000A33A0000}"/>
    <cellStyle name="SAPBEXHLevel1X 7 5" xfId="14805" xr:uid="{00000000-0005-0000-0000-0000A43A0000}"/>
    <cellStyle name="SAPBEXHLevel1X 7 5 2" xfId="14806" xr:uid="{00000000-0005-0000-0000-0000A53A0000}"/>
    <cellStyle name="SAPBEXHLevel1X 7 5 3" xfId="14807" xr:uid="{00000000-0005-0000-0000-0000A63A0000}"/>
    <cellStyle name="SAPBEXHLevel1X 7 5 4" xfId="14808" xr:uid="{00000000-0005-0000-0000-0000A73A0000}"/>
    <cellStyle name="SAPBEXHLevel1X 7 6" xfId="14809" xr:uid="{00000000-0005-0000-0000-0000A83A0000}"/>
    <cellStyle name="SAPBEXHLevel1X 7 7" xfId="14810" xr:uid="{00000000-0005-0000-0000-0000A93A0000}"/>
    <cellStyle name="SAPBEXHLevel1X 7 8" xfId="14811" xr:uid="{00000000-0005-0000-0000-0000AA3A0000}"/>
    <cellStyle name="SAPBEXHLevel1X 7 9" xfId="14812" xr:uid="{00000000-0005-0000-0000-0000AB3A0000}"/>
    <cellStyle name="SAPBEXHLevel1X 70" xfId="14813" xr:uid="{00000000-0005-0000-0000-0000AC3A0000}"/>
    <cellStyle name="SAPBEXHLevel1X 71" xfId="14814" xr:uid="{00000000-0005-0000-0000-0000AD3A0000}"/>
    <cellStyle name="SAPBEXHLevel1X 72" xfId="14815" xr:uid="{00000000-0005-0000-0000-0000AE3A0000}"/>
    <cellStyle name="SAPBEXHLevel1X 73" xfId="14816" xr:uid="{00000000-0005-0000-0000-0000AF3A0000}"/>
    <cellStyle name="SAPBEXHLevel1X 74" xfId="14817" xr:uid="{00000000-0005-0000-0000-0000B03A0000}"/>
    <cellStyle name="SAPBEXHLevel1X 75" xfId="14818" xr:uid="{00000000-0005-0000-0000-0000B13A0000}"/>
    <cellStyle name="SAPBEXHLevel1X 76" xfId="14819" xr:uid="{00000000-0005-0000-0000-0000B23A0000}"/>
    <cellStyle name="SAPBEXHLevel1X 77" xfId="14820" xr:uid="{00000000-0005-0000-0000-0000B33A0000}"/>
    <cellStyle name="SAPBEXHLevel1X 78" xfId="14821" xr:uid="{00000000-0005-0000-0000-0000B43A0000}"/>
    <cellStyle name="SAPBEXHLevel1X 79" xfId="14822" xr:uid="{00000000-0005-0000-0000-0000B53A0000}"/>
    <cellStyle name="SAPBEXHLevel1X 8" xfId="14823" xr:uid="{00000000-0005-0000-0000-0000B63A0000}"/>
    <cellStyle name="SAPBEXHLevel1X 8 2" xfId="14824" xr:uid="{00000000-0005-0000-0000-0000B73A0000}"/>
    <cellStyle name="SAPBEXHLevel1X 8 3" xfId="14825" xr:uid="{00000000-0005-0000-0000-0000B83A0000}"/>
    <cellStyle name="SAPBEXHLevel1X 8 4" xfId="14826" xr:uid="{00000000-0005-0000-0000-0000B93A0000}"/>
    <cellStyle name="SAPBEXHLevel1X 8 5" xfId="14827" xr:uid="{00000000-0005-0000-0000-0000BA3A0000}"/>
    <cellStyle name="SAPBEXHLevel1X 8 6" xfId="14828" xr:uid="{00000000-0005-0000-0000-0000BB3A0000}"/>
    <cellStyle name="SAPBEXHLevel1X 80" xfId="14829" xr:uid="{00000000-0005-0000-0000-0000BC3A0000}"/>
    <cellStyle name="SAPBEXHLevel1X 81" xfId="14830" xr:uid="{00000000-0005-0000-0000-0000BD3A0000}"/>
    <cellStyle name="SAPBEXHLevel1X 82" xfId="14831" xr:uid="{00000000-0005-0000-0000-0000BE3A0000}"/>
    <cellStyle name="SAPBEXHLevel1X 83" xfId="14832" xr:uid="{00000000-0005-0000-0000-0000BF3A0000}"/>
    <cellStyle name="SAPBEXHLevel1X 84" xfId="14833" xr:uid="{00000000-0005-0000-0000-0000C03A0000}"/>
    <cellStyle name="SAPBEXHLevel1X 85" xfId="14834" xr:uid="{00000000-0005-0000-0000-0000C13A0000}"/>
    <cellStyle name="SAPBEXHLevel1X 86" xfId="14835" xr:uid="{00000000-0005-0000-0000-0000C23A0000}"/>
    <cellStyle name="SAPBEXHLevel1X 87" xfId="14836" xr:uid="{00000000-0005-0000-0000-0000C33A0000}"/>
    <cellStyle name="SAPBEXHLevel1X 88" xfId="14837" xr:uid="{00000000-0005-0000-0000-0000C43A0000}"/>
    <cellStyle name="SAPBEXHLevel1X 89" xfId="14838" xr:uid="{00000000-0005-0000-0000-0000C53A0000}"/>
    <cellStyle name="SAPBEXHLevel1X 9" xfId="14839" xr:uid="{00000000-0005-0000-0000-0000C63A0000}"/>
    <cellStyle name="SAPBEXHLevel1X 9 2" xfId="14840" xr:uid="{00000000-0005-0000-0000-0000C73A0000}"/>
    <cellStyle name="SAPBEXHLevel1X 9 3" xfId="14841" xr:uid="{00000000-0005-0000-0000-0000C83A0000}"/>
    <cellStyle name="SAPBEXHLevel1X 9 4" xfId="14842" xr:uid="{00000000-0005-0000-0000-0000C93A0000}"/>
    <cellStyle name="SAPBEXHLevel1X 9 5" xfId="14843" xr:uid="{00000000-0005-0000-0000-0000CA3A0000}"/>
    <cellStyle name="SAPBEXHLevel1X 9 6" xfId="14844" xr:uid="{00000000-0005-0000-0000-0000CB3A0000}"/>
    <cellStyle name="SAPBEXHLevel1X 90" xfId="14845" xr:uid="{00000000-0005-0000-0000-0000CC3A0000}"/>
    <cellStyle name="SAPBEXHLevel1X 91" xfId="14846" xr:uid="{00000000-0005-0000-0000-0000CD3A0000}"/>
    <cellStyle name="SAPBEXHLevel1X 92" xfId="14847" xr:uid="{00000000-0005-0000-0000-0000CE3A0000}"/>
    <cellStyle name="SAPBEXHLevel1X 93" xfId="14848" xr:uid="{00000000-0005-0000-0000-0000CF3A0000}"/>
    <cellStyle name="SAPBEXHLevel1X 94" xfId="14849" xr:uid="{00000000-0005-0000-0000-0000D03A0000}"/>
    <cellStyle name="SAPBEXHLevel1X 95" xfId="14850" xr:uid="{00000000-0005-0000-0000-0000D13A0000}"/>
    <cellStyle name="SAPBEXHLevel1X 96" xfId="14851" xr:uid="{00000000-0005-0000-0000-0000D23A0000}"/>
    <cellStyle name="SAPBEXHLevel1X 97" xfId="14852" xr:uid="{00000000-0005-0000-0000-0000D33A0000}"/>
    <cellStyle name="SAPBEXHLevel1X 98" xfId="14853" xr:uid="{00000000-0005-0000-0000-0000D43A0000}"/>
    <cellStyle name="SAPBEXHLevel1X 99" xfId="14854" xr:uid="{00000000-0005-0000-0000-0000D53A0000}"/>
    <cellStyle name="SAPBEXHLevel1X_2009 05 22 Cash flow (2009) (20)" xfId="14855" xr:uid="{00000000-0005-0000-0000-0000D63A0000}"/>
    <cellStyle name="SAPBEXHLevel2" xfId="14856" xr:uid="{00000000-0005-0000-0000-0000D73A0000}"/>
    <cellStyle name="SAPBEXHLevel2 10" xfId="14857" xr:uid="{00000000-0005-0000-0000-0000D83A0000}"/>
    <cellStyle name="SAPBEXHLevel2 10 2" xfId="14858" xr:uid="{00000000-0005-0000-0000-0000D93A0000}"/>
    <cellStyle name="SAPBEXHLevel2 10 3" xfId="14859" xr:uid="{00000000-0005-0000-0000-0000DA3A0000}"/>
    <cellStyle name="SAPBEXHLevel2 10 4" xfId="14860" xr:uid="{00000000-0005-0000-0000-0000DB3A0000}"/>
    <cellStyle name="SAPBEXHLevel2 10 5" xfId="14861" xr:uid="{00000000-0005-0000-0000-0000DC3A0000}"/>
    <cellStyle name="SAPBEXHLevel2 10 6" xfId="14862" xr:uid="{00000000-0005-0000-0000-0000DD3A0000}"/>
    <cellStyle name="SAPBEXHLevel2 100" xfId="14863" xr:uid="{00000000-0005-0000-0000-0000DE3A0000}"/>
    <cellStyle name="SAPBEXHLevel2 101" xfId="14864" xr:uid="{00000000-0005-0000-0000-0000DF3A0000}"/>
    <cellStyle name="SAPBEXHLevel2 102" xfId="14865" xr:uid="{00000000-0005-0000-0000-0000E03A0000}"/>
    <cellStyle name="SAPBEXHLevel2 103" xfId="14866" xr:uid="{00000000-0005-0000-0000-0000E13A0000}"/>
    <cellStyle name="SAPBEXHLevel2 104" xfId="14867" xr:uid="{00000000-0005-0000-0000-0000E23A0000}"/>
    <cellStyle name="SAPBEXHLevel2 105" xfId="14868" xr:uid="{00000000-0005-0000-0000-0000E33A0000}"/>
    <cellStyle name="SAPBEXHLevel2 106" xfId="14869" xr:uid="{00000000-0005-0000-0000-0000E43A0000}"/>
    <cellStyle name="SAPBEXHLevel2 107" xfId="14870" xr:uid="{00000000-0005-0000-0000-0000E53A0000}"/>
    <cellStyle name="SAPBEXHLevel2 108" xfId="14871" xr:uid="{00000000-0005-0000-0000-0000E63A0000}"/>
    <cellStyle name="SAPBEXHLevel2 109" xfId="14872" xr:uid="{00000000-0005-0000-0000-0000E73A0000}"/>
    <cellStyle name="SAPBEXHLevel2 11" xfId="14873" xr:uid="{00000000-0005-0000-0000-0000E83A0000}"/>
    <cellStyle name="SAPBEXHLevel2 11 2" xfId="14874" xr:uid="{00000000-0005-0000-0000-0000E93A0000}"/>
    <cellStyle name="SAPBEXHLevel2 11 3" xfId="14875" xr:uid="{00000000-0005-0000-0000-0000EA3A0000}"/>
    <cellStyle name="SAPBEXHLevel2 11 4" xfId="14876" xr:uid="{00000000-0005-0000-0000-0000EB3A0000}"/>
    <cellStyle name="SAPBEXHLevel2 11 5" xfId="14877" xr:uid="{00000000-0005-0000-0000-0000EC3A0000}"/>
    <cellStyle name="SAPBEXHLevel2 11 6" xfId="14878" xr:uid="{00000000-0005-0000-0000-0000ED3A0000}"/>
    <cellStyle name="SAPBEXHLevel2 110" xfId="14879" xr:uid="{00000000-0005-0000-0000-0000EE3A0000}"/>
    <cellStyle name="SAPBEXHLevel2 111" xfId="14880" xr:uid="{00000000-0005-0000-0000-0000EF3A0000}"/>
    <cellStyle name="SAPBEXHLevel2 112" xfId="14881" xr:uid="{00000000-0005-0000-0000-0000F03A0000}"/>
    <cellStyle name="SAPBEXHLevel2 113" xfId="14882" xr:uid="{00000000-0005-0000-0000-0000F13A0000}"/>
    <cellStyle name="SAPBEXHLevel2 114" xfId="14883" xr:uid="{00000000-0005-0000-0000-0000F23A0000}"/>
    <cellStyle name="SAPBEXHLevel2 115" xfId="14884" xr:uid="{00000000-0005-0000-0000-0000F33A0000}"/>
    <cellStyle name="SAPBEXHLevel2 116" xfId="14885" xr:uid="{00000000-0005-0000-0000-0000F43A0000}"/>
    <cellStyle name="SAPBEXHLevel2 117" xfId="14886" xr:uid="{00000000-0005-0000-0000-0000F53A0000}"/>
    <cellStyle name="SAPBEXHLevel2 118" xfId="14887" xr:uid="{00000000-0005-0000-0000-0000F63A0000}"/>
    <cellStyle name="SAPBEXHLevel2 119" xfId="14888" xr:uid="{00000000-0005-0000-0000-0000F73A0000}"/>
    <cellStyle name="SAPBEXHLevel2 12" xfId="14889" xr:uid="{00000000-0005-0000-0000-0000F83A0000}"/>
    <cellStyle name="SAPBEXHLevel2 12 2" xfId="14890" xr:uid="{00000000-0005-0000-0000-0000F93A0000}"/>
    <cellStyle name="SAPBEXHLevel2 12 3" xfId="14891" xr:uid="{00000000-0005-0000-0000-0000FA3A0000}"/>
    <cellStyle name="SAPBEXHLevel2 12 4" xfId="14892" xr:uid="{00000000-0005-0000-0000-0000FB3A0000}"/>
    <cellStyle name="SAPBEXHLevel2 12 5" xfId="14893" xr:uid="{00000000-0005-0000-0000-0000FC3A0000}"/>
    <cellStyle name="SAPBEXHLevel2 12 6" xfId="14894" xr:uid="{00000000-0005-0000-0000-0000FD3A0000}"/>
    <cellStyle name="SAPBEXHLevel2 120" xfId="14895" xr:uid="{00000000-0005-0000-0000-0000FE3A0000}"/>
    <cellStyle name="SAPBEXHLevel2 121" xfId="14896" xr:uid="{00000000-0005-0000-0000-0000FF3A0000}"/>
    <cellStyle name="SAPBEXHLevel2 122" xfId="14897" xr:uid="{00000000-0005-0000-0000-0000003B0000}"/>
    <cellStyle name="SAPBEXHLevel2 123" xfId="14898" xr:uid="{00000000-0005-0000-0000-0000013B0000}"/>
    <cellStyle name="SAPBEXHLevel2 124" xfId="14899" xr:uid="{00000000-0005-0000-0000-0000023B0000}"/>
    <cellStyle name="SAPBEXHLevel2 125" xfId="14900" xr:uid="{00000000-0005-0000-0000-0000033B0000}"/>
    <cellStyle name="SAPBEXHLevel2 126" xfId="14901" xr:uid="{00000000-0005-0000-0000-0000043B0000}"/>
    <cellStyle name="SAPBEXHLevel2 127" xfId="14902" xr:uid="{00000000-0005-0000-0000-0000053B0000}"/>
    <cellStyle name="SAPBEXHLevel2 128" xfId="14903" xr:uid="{00000000-0005-0000-0000-0000063B0000}"/>
    <cellStyle name="SAPBEXHLevel2 129" xfId="14904" xr:uid="{00000000-0005-0000-0000-0000073B0000}"/>
    <cellStyle name="SAPBEXHLevel2 13" xfId="14905" xr:uid="{00000000-0005-0000-0000-0000083B0000}"/>
    <cellStyle name="SAPBEXHLevel2 13 2" xfId="14906" xr:uid="{00000000-0005-0000-0000-0000093B0000}"/>
    <cellStyle name="SAPBEXHLevel2 13 3" xfId="14907" xr:uid="{00000000-0005-0000-0000-00000A3B0000}"/>
    <cellStyle name="SAPBEXHLevel2 13 4" xfId="14908" xr:uid="{00000000-0005-0000-0000-00000B3B0000}"/>
    <cellStyle name="SAPBEXHLevel2 13 5" xfId="14909" xr:uid="{00000000-0005-0000-0000-00000C3B0000}"/>
    <cellStyle name="SAPBEXHLevel2 13 6" xfId="14910" xr:uid="{00000000-0005-0000-0000-00000D3B0000}"/>
    <cellStyle name="SAPBEXHLevel2 130" xfId="14911" xr:uid="{00000000-0005-0000-0000-00000E3B0000}"/>
    <cellStyle name="SAPBEXHLevel2 131" xfId="14912" xr:uid="{00000000-0005-0000-0000-00000F3B0000}"/>
    <cellStyle name="SAPBEXHLevel2 132" xfId="14913" xr:uid="{00000000-0005-0000-0000-0000103B0000}"/>
    <cellStyle name="SAPBEXHLevel2 133" xfId="14914" xr:uid="{00000000-0005-0000-0000-0000113B0000}"/>
    <cellStyle name="SAPBEXHLevel2 134" xfId="14915" xr:uid="{00000000-0005-0000-0000-0000123B0000}"/>
    <cellStyle name="SAPBEXHLevel2 135" xfId="14916" xr:uid="{00000000-0005-0000-0000-0000133B0000}"/>
    <cellStyle name="SAPBEXHLevel2 136" xfId="14917" xr:uid="{00000000-0005-0000-0000-0000143B0000}"/>
    <cellStyle name="SAPBEXHLevel2 137" xfId="14918" xr:uid="{00000000-0005-0000-0000-0000153B0000}"/>
    <cellStyle name="SAPBEXHLevel2 138" xfId="14919" xr:uid="{00000000-0005-0000-0000-0000163B0000}"/>
    <cellStyle name="SAPBEXHLevel2 139" xfId="14920" xr:uid="{00000000-0005-0000-0000-0000173B0000}"/>
    <cellStyle name="SAPBEXHLevel2 14" xfId="14921" xr:uid="{00000000-0005-0000-0000-0000183B0000}"/>
    <cellStyle name="SAPBEXHLevel2 14 2" xfId="14922" xr:uid="{00000000-0005-0000-0000-0000193B0000}"/>
    <cellStyle name="SAPBEXHLevel2 14 3" xfId="14923" xr:uid="{00000000-0005-0000-0000-00001A3B0000}"/>
    <cellStyle name="SAPBEXHLevel2 14 4" xfId="14924" xr:uid="{00000000-0005-0000-0000-00001B3B0000}"/>
    <cellStyle name="SAPBEXHLevel2 14 5" xfId="14925" xr:uid="{00000000-0005-0000-0000-00001C3B0000}"/>
    <cellStyle name="SAPBEXHLevel2 14 6" xfId="14926" xr:uid="{00000000-0005-0000-0000-00001D3B0000}"/>
    <cellStyle name="SAPBEXHLevel2 140" xfId="14927" xr:uid="{00000000-0005-0000-0000-00001E3B0000}"/>
    <cellStyle name="SAPBEXHLevel2 141" xfId="14928" xr:uid="{00000000-0005-0000-0000-00001F3B0000}"/>
    <cellStyle name="SAPBEXHLevel2 142" xfId="14929" xr:uid="{00000000-0005-0000-0000-0000203B0000}"/>
    <cellStyle name="SAPBEXHLevel2 143" xfId="14930" xr:uid="{00000000-0005-0000-0000-0000213B0000}"/>
    <cellStyle name="SAPBEXHLevel2 144" xfId="14931" xr:uid="{00000000-0005-0000-0000-0000223B0000}"/>
    <cellStyle name="SAPBEXHLevel2 145" xfId="14932" xr:uid="{00000000-0005-0000-0000-0000233B0000}"/>
    <cellStyle name="SAPBEXHLevel2 146" xfId="14933" xr:uid="{00000000-0005-0000-0000-0000243B0000}"/>
    <cellStyle name="SAPBEXHLevel2 147" xfId="14934" xr:uid="{00000000-0005-0000-0000-0000253B0000}"/>
    <cellStyle name="SAPBEXHLevel2 148" xfId="14935" xr:uid="{00000000-0005-0000-0000-0000263B0000}"/>
    <cellStyle name="SAPBEXHLevel2 149" xfId="14936" xr:uid="{00000000-0005-0000-0000-0000273B0000}"/>
    <cellStyle name="SAPBEXHLevel2 15" xfId="14937" xr:uid="{00000000-0005-0000-0000-0000283B0000}"/>
    <cellStyle name="SAPBEXHLevel2 15 2" xfId="14938" xr:uid="{00000000-0005-0000-0000-0000293B0000}"/>
    <cellStyle name="SAPBEXHLevel2 15 3" xfId="14939" xr:uid="{00000000-0005-0000-0000-00002A3B0000}"/>
    <cellStyle name="SAPBEXHLevel2 15 4" xfId="14940" xr:uid="{00000000-0005-0000-0000-00002B3B0000}"/>
    <cellStyle name="SAPBEXHLevel2 15 5" xfId="14941" xr:uid="{00000000-0005-0000-0000-00002C3B0000}"/>
    <cellStyle name="SAPBEXHLevel2 15 6" xfId="14942" xr:uid="{00000000-0005-0000-0000-00002D3B0000}"/>
    <cellStyle name="SAPBEXHLevel2 150" xfId="14943" xr:uid="{00000000-0005-0000-0000-00002E3B0000}"/>
    <cellStyle name="SAPBEXHLevel2 151" xfId="14944" xr:uid="{00000000-0005-0000-0000-00002F3B0000}"/>
    <cellStyle name="SAPBEXHLevel2 152" xfId="14945" xr:uid="{00000000-0005-0000-0000-0000303B0000}"/>
    <cellStyle name="SAPBEXHLevel2 153" xfId="14946" xr:uid="{00000000-0005-0000-0000-0000313B0000}"/>
    <cellStyle name="SAPBEXHLevel2 154" xfId="14947" xr:uid="{00000000-0005-0000-0000-0000323B0000}"/>
    <cellStyle name="SAPBEXHLevel2 155" xfId="14948" xr:uid="{00000000-0005-0000-0000-0000333B0000}"/>
    <cellStyle name="SAPBEXHLevel2 156" xfId="14949" xr:uid="{00000000-0005-0000-0000-0000343B0000}"/>
    <cellStyle name="SAPBEXHLevel2 157" xfId="14950" xr:uid="{00000000-0005-0000-0000-0000353B0000}"/>
    <cellStyle name="SAPBEXHLevel2 158" xfId="14951" xr:uid="{00000000-0005-0000-0000-0000363B0000}"/>
    <cellStyle name="SAPBEXHLevel2 159" xfId="14952" xr:uid="{00000000-0005-0000-0000-0000373B0000}"/>
    <cellStyle name="SAPBEXHLevel2 16" xfId="14953" xr:uid="{00000000-0005-0000-0000-0000383B0000}"/>
    <cellStyle name="SAPBEXHLevel2 16 2" xfId="14954" xr:uid="{00000000-0005-0000-0000-0000393B0000}"/>
    <cellStyle name="SAPBEXHLevel2 16 3" xfId="14955" xr:uid="{00000000-0005-0000-0000-00003A3B0000}"/>
    <cellStyle name="SAPBEXHLevel2 16 4" xfId="14956" xr:uid="{00000000-0005-0000-0000-00003B3B0000}"/>
    <cellStyle name="SAPBEXHLevel2 16 5" xfId="14957" xr:uid="{00000000-0005-0000-0000-00003C3B0000}"/>
    <cellStyle name="SAPBEXHLevel2 16 6" xfId="14958" xr:uid="{00000000-0005-0000-0000-00003D3B0000}"/>
    <cellStyle name="SAPBEXHLevel2 160" xfId="14959" xr:uid="{00000000-0005-0000-0000-00003E3B0000}"/>
    <cellStyle name="SAPBEXHLevel2 161" xfId="14960" xr:uid="{00000000-0005-0000-0000-00003F3B0000}"/>
    <cellStyle name="SAPBEXHLevel2 162" xfId="14961" xr:uid="{00000000-0005-0000-0000-0000403B0000}"/>
    <cellStyle name="SAPBEXHLevel2 163" xfId="14962" xr:uid="{00000000-0005-0000-0000-0000413B0000}"/>
    <cellStyle name="SAPBEXHLevel2 164" xfId="14963" xr:uid="{00000000-0005-0000-0000-0000423B0000}"/>
    <cellStyle name="SAPBEXHLevel2 165" xfId="14964" xr:uid="{00000000-0005-0000-0000-0000433B0000}"/>
    <cellStyle name="SAPBEXHLevel2 166" xfId="14965" xr:uid="{00000000-0005-0000-0000-0000443B0000}"/>
    <cellStyle name="SAPBEXHLevel2 167" xfId="14966" xr:uid="{00000000-0005-0000-0000-0000453B0000}"/>
    <cellStyle name="SAPBEXHLevel2 168" xfId="14967" xr:uid="{00000000-0005-0000-0000-0000463B0000}"/>
    <cellStyle name="SAPBEXHLevel2 169" xfId="14968" xr:uid="{00000000-0005-0000-0000-0000473B0000}"/>
    <cellStyle name="SAPBEXHLevel2 17" xfId="14969" xr:uid="{00000000-0005-0000-0000-0000483B0000}"/>
    <cellStyle name="SAPBEXHLevel2 17 2" xfId="14970" xr:uid="{00000000-0005-0000-0000-0000493B0000}"/>
    <cellStyle name="SAPBEXHLevel2 17 3" xfId="14971" xr:uid="{00000000-0005-0000-0000-00004A3B0000}"/>
    <cellStyle name="SAPBEXHLevel2 17 4" xfId="14972" xr:uid="{00000000-0005-0000-0000-00004B3B0000}"/>
    <cellStyle name="SAPBEXHLevel2 17 5" xfId="14973" xr:uid="{00000000-0005-0000-0000-00004C3B0000}"/>
    <cellStyle name="SAPBEXHLevel2 17 6" xfId="14974" xr:uid="{00000000-0005-0000-0000-00004D3B0000}"/>
    <cellStyle name="SAPBEXHLevel2 170" xfId="14975" xr:uid="{00000000-0005-0000-0000-00004E3B0000}"/>
    <cellStyle name="SAPBEXHLevel2 171" xfId="14976" xr:uid="{00000000-0005-0000-0000-00004F3B0000}"/>
    <cellStyle name="SAPBEXHLevel2 172" xfId="14977" xr:uid="{00000000-0005-0000-0000-0000503B0000}"/>
    <cellStyle name="SAPBEXHLevel2 173" xfId="14978" xr:uid="{00000000-0005-0000-0000-0000513B0000}"/>
    <cellStyle name="SAPBEXHLevel2 174" xfId="27811" xr:uid="{00000000-0005-0000-0000-0000523B0000}"/>
    <cellStyle name="SAPBEXHLevel2 175" xfId="27926" xr:uid="{00000000-0005-0000-0000-0000533B0000}"/>
    <cellStyle name="SAPBEXHLevel2 176" xfId="27984" xr:uid="{00000000-0005-0000-0000-0000543B0000}"/>
    <cellStyle name="SAPBEXHLevel2 177" xfId="28026" xr:uid="{00000000-0005-0000-0000-0000553B0000}"/>
    <cellStyle name="SAPBEXHLevel2 178" xfId="28159" xr:uid="{00000000-0005-0000-0000-0000563B0000}"/>
    <cellStyle name="SAPBEXHLevel2 18" xfId="14979" xr:uid="{00000000-0005-0000-0000-0000573B0000}"/>
    <cellStyle name="SAPBEXHLevel2 18 2" xfId="14980" xr:uid="{00000000-0005-0000-0000-0000583B0000}"/>
    <cellStyle name="SAPBEXHLevel2 18 3" xfId="14981" xr:uid="{00000000-0005-0000-0000-0000593B0000}"/>
    <cellStyle name="SAPBEXHLevel2 18 4" xfId="14982" xr:uid="{00000000-0005-0000-0000-00005A3B0000}"/>
    <cellStyle name="SAPBEXHLevel2 18 5" xfId="14983" xr:uid="{00000000-0005-0000-0000-00005B3B0000}"/>
    <cellStyle name="SAPBEXHLevel2 18 6" xfId="14984" xr:uid="{00000000-0005-0000-0000-00005C3B0000}"/>
    <cellStyle name="SAPBEXHLevel2 19" xfId="14985" xr:uid="{00000000-0005-0000-0000-00005D3B0000}"/>
    <cellStyle name="SAPBEXHLevel2 19 2" xfId="14986" xr:uid="{00000000-0005-0000-0000-00005E3B0000}"/>
    <cellStyle name="SAPBEXHLevel2 19 3" xfId="14987" xr:uid="{00000000-0005-0000-0000-00005F3B0000}"/>
    <cellStyle name="SAPBEXHLevel2 19 4" xfId="14988" xr:uid="{00000000-0005-0000-0000-0000603B0000}"/>
    <cellStyle name="SAPBEXHLevel2 19 5" xfId="14989" xr:uid="{00000000-0005-0000-0000-0000613B0000}"/>
    <cellStyle name="SAPBEXHLevel2 19 6" xfId="14990" xr:uid="{00000000-0005-0000-0000-0000623B0000}"/>
    <cellStyle name="SAPBEXHLevel2 2" xfId="14991" xr:uid="{00000000-0005-0000-0000-0000633B0000}"/>
    <cellStyle name="SAPBEXHLevel2 2 10" xfId="14992" xr:uid="{00000000-0005-0000-0000-0000643B0000}"/>
    <cellStyle name="SAPBEXHLevel2 2 10 2" xfId="14993" xr:uid="{00000000-0005-0000-0000-0000653B0000}"/>
    <cellStyle name="SAPBEXHLevel2 2 10 3" xfId="14994" xr:uid="{00000000-0005-0000-0000-0000663B0000}"/>
    <cellStyle name="SAPBEXHLevel2 2 10 4" xfId="14995" xr:uid="{00000000-0005-0000-0000-0000673B0000}"/>
    <cellStyle name="SAPBEXHLevel2 2 11" xfId="14996" xr:uid="{00000000-0005-0000-0000-0000683B0000}"/>
    <cellStyle name="SAPBEXHLevel2 2 11 2" xfId="14997" xr:uid="{00000000-0005-0000-0000-0000693B0000}"/>
    <cellStyle name="SAPBEXHLevel2 2 11 3" xfId="14998" xr:uid="{00000000-0005-0000-0000-00006A3B0000}"/>
    <cellStyle name="SAPBEXHLevel2 2 11 4" xfId="14999" xr:uid="{00000000-0005-0000-0000-00006B3B0000}"/>
    <cellStyle name="SAPBEXHLevel2 2 12" xfId="15000" xr:uid="{00000000-0005-0000-0000-00006C3B0000}"/>
    <cellStyle name="SAPBEXHLevel2 2 12 2" xfId="15001" xr:uid="{00000000-0005-0000-0000-00006D3B0000}"/>
    <cellStyle name="SAPBEXHLevel2 2 12 3" xfId="15002" xr:uid="{00000000-0005-0000-0000-00006E3B0000}"/>
    <cellStyle name="SAPBEXHLevel2 2 12 4" xfId="15003" xr:uid="{00000000-0005-0000-0000-00006F3B0000}"/>
    <cellStyle name="SAPBEXHLevel2 2 13" xfId="15004" xr:uid="{00000000-0005-0000-0000-0000703B0000}"/>
    <cellStyle name="SAPBEXHLevel2 2 13 2" xfId="15005" xr:uid="{00000000-0005-0000-0000-0000713B0000}"/>
    <cellStyle name="SAPBEXHLevel2 2 13 3" xfId="15006" xr:uid="{00000000-0005-0000-0000-0000723B0000}"/>
    <cellStyle name="SAPBEXHLevel2 2 13 4" xfId="15007" xr:uid="{00000000-0005-0000-0000-0000733B0000}"/>
    <cellStyle name="SAPBEXHLevel2 2 14" xfId="15008" xr:uid="{00000000-0005-0000-0000-0000743B0000}"/>
    <cellStyle name="SAPBEXHLevel2 2 15" xfId="15009" xr:uid="{00000000-0005-0000-0000-0000753B0000}"/>
    <cellStyle name="SAPBEXHLevel2 2 16" xfId="15010" xr:uid="{00000000-0005-0000-0000-0000763B0000}"/>
    <cellStyle name="SAPBEXHLevel2 2 17" xfId="15011" xr:uid="{00000000-0005-0000-0000-0000773B0000}"/>
    <cellStyle name="SAPBEXHLevel2 2 18" xfId="15012" xr:uid="{00000000-0005-0000-0000-0000783B0000}"/>
    <cellStyle name="SAPBEXHLevel2 2 2" xfId="15013" xr:uid="{00000000-0005-0000-0000-0000793B0000}"/>
    <cellStyle name="SAPBEXHLevel2 2 2 2" xfId="15014" xr:uid="{00000000-0005-0000-0000-00007A3B0000}"/>
    <cellStyle name="SAPBEXHLevel2 2 2 2 2" xfId="15015" xr:uid="{00000000-0005-0000-0000-00007B3B0000}"/>
    <cellStyle name="SAPBEXHLevel2 2 2 2 3" xfId="15016" xr:uid="{00000000-0005-0000-0000-00007C3B0000}"/>
    <cellStyle name="SAPBEXHLevel2 2 2 2 4" xfId="15017" xr:uid="{00000000-0005-0000-0000-00007D3B0000}"/>
    <cellStyle name="SAPBEXHLevel2 2 2 2 5" xfId="15018" xr:uid="{00000000-0005-0000-0000-00007E3B0000}"/>
    <cellStyle name="SAPBEXHLevel2 2 2 2 6" xfId="15019" xr:uid="{00000000-0005-0000-0000-00007F3B0000}"/>
    <cellStyle name="SAPBEXHLevel2 2 2 3" xfId="15020" xr:uid="{00000000-0005-0000-0000-0000803B0000}"/>
    <cellStyle name="SAPBEXHLevel2 2 2 3 2" xfId="15021" xr:uid="{00000000-0005-0000-0000-0000813B0000}"/>
    <cellStyle name="SAPBEXHLevel2 2 2 3 3" xfId="15022" xr:uid="{00000000-0005-0000-0000-0000823B0000}"/>
    <cellStyle name="SAPBEXHLevel2 2 2 3 4" xfId="15023" xr:uid="{00000000-0005-0000-0000-0000833B0000}"/>
    <cellStyle name="SAPBEXHLevel2 2 2 3 5" xfId="15024" xr:uid="{00000000-0005-0000-0000-0000843B0000}"/>
    <cellStyle name="SAPBEXHLevel2 2 2 3 6" xfId="15025" xr:uid="{00000000-0005-0000-0000-0000853B0000}"/>
    <cellStyle name="SAPBEXHLevel2 2 2 4" xfId="15026" xr:uid="{00000000-0005-0000-0000-0000863B0000}"/>
    <cellStyle name="SAPBEXHLevel2 2 2 4 2" xfId="15027" xr:uid="{00000000-0005-0000-0000-0000873B0000}"/>
    <cellStyle name="SAPBEXHLevel2 2 2 4 3" xfId="15028" xr:uid="{00000000-0005-0000-0000-0000883B0000}"/>
    <cellStyle name="SAPBEXHLevel2 2 2 4 4" xfId="15029" xr:uid="{00000000-0005-0000-0000-0000893B0000}"/>
    <cellStyle name="SAPBEXHLevel2 2 2 4 5" xfId="15030" xr:uid="{00000000-0005-0000-0000-00008A3B0000}"/>
    <cellStyle name="SAPBEXHLevel2 2 2 4 6" xfId="15031" xr:uid="{00000000-0005-0000-0000-00008B3B0000}"/>
    <cellStyle name="SAPBEXHLevel2 2 2 5" xfId="15032" xr:uid="{00000000-0005-0000-0000-00008C3B0000}"/>
    <cellStyle name="SAPBEXHLevel2 2 2 5 2" xfId="15033" xr:uid="{00000000-0005-0000-0000-00008D3B0000}"/>
    <cellStyle name="SAPBEXHLevel2 2 2 5 3" xfId="15034" xr:uid="{00000000-0005-0000-0000-00008E3B0000}"/>
    <cellStyle name="SAPBEXHLevel2 2 2 5 4" xfId="15035" xr:uid="{00000000-0005-0000-0000-00008F3B0000}"/>
    <cellStyle name="SAPBEXHLevel2 2 2 5 5" xfId="15036" xr:uid="{00000000-0005-0000-0000-0000903B0000}"/>
    <cellStyle name="SAPBEXHLevel2 2 2 5 6" xfId="15037" xr:uid="{00000000-0005-0000-0000-0000913B0000}"/>
    <cellStyle name="SAPBEXHLevel2 2 2 6" xfId="15038" xr:uid="{00000000-0005-0000-0000-0000923B0000}"/>
    <cellStyle name="SAPBEXHLevel2 2 2 7" xfId="15039" xr:uid="{00000000-0005-0000-0000-0000933B0000}"/>
    <cellStyle name="SAPBEXHLevel2 2 2 8" xfId="15040" xr:uid="{00000000-0005-0000-0000-0000943B0000}"/>
    <cellStyle name="SAPBEXHLevel2 2 3" xfId="15041" xr:uid="{00000000-0005-0000-0000-0000953B0000}"/>
    <cellStyle name="SAPBEXHLevel2 2 3 2" xfId="15042" xr:uid="{00000000-0005-0000-0000-0000963B0000}"/>
    <cellStyle name="SAPBEXHLevel2 2 3 2 2" xfId="15043" xr:uid="{00000000-0005-0000-0000-0000973B0000}"/>
    <cellStyle name="SAPBEXHLevel2 2 3 2 3" xfId="15044" xr:uid="{00000000-0005-0000-0000-0000983B0000}"/>
    <cellStyle name="SAPBEXHLevel2 2 3 2 4" xfId="15045" xr:uid="{00000000-0005-0000-0000-0000993B0000}"/>
    <cellStyle name="SAPBEXHLevel2 2 3 2 5" xfId="15046" xr:uid="{00000000-0005-0000-0000-00009A3B0000}"/>
    <cellStyle name="SAPBEXHLevel2 2 3 2 6" xfId="15047" xr:uid="{00000000-0005-0000-0000-00009B3B0000}"/>
    <cellStyle name="SAPBEXHLevel2 2 3 3" xfId="15048" xr:uid="{00000000-0005-0000-0000-00009C3B0000}"/>
    <cellStyle name="SAPBEXHLevel2 2 3 3 2" xfId="15049" xr:uid="{00000000-0005-0000-0000-00009D3B0000}"/>
    <cellStyle name="SAPBEXHLevel2 2 3 3 3" xfId="15050" xr:uid="{00000000-0005-0000-0000-00009E3B0000}"/>
    <cellStyle name="SAPBEXHLevel2 2 3 3 4" xfId="15051" xr:uid="{00000000-0005-0000-0000-00009F3B0000}"/>
    <cellStyle name="SAPBEXHLevel2 2 3 3 5" xfId="15052" xr:uid="{00000000-0005-0000-0000-0000A03B0000}"/>
    <cellStyle name="SAPBEXHLevel2 2 3 3 6" xfId="15053" xr:uid="{00000000-0005-0000-0000-0000A13B0000}"/>
    <cellStyle name="SAPBEXHLevel2 2 3 4" xfId="15054" xr:uid="{00000000-0005-0000-0000-0000A23B0000}"/>
    <cellStyle name="SAPBEXHLevel2 2 3 4 2" xfId="15055" xr:uid="{00000000-0005-0000-0000-0000A33B0000}"/>
    <cellStyle name="SAPBEXHLevel2 2 3 4 3" xfId="15056" xr:uid="{00000000-0005-0000-0000-0000A43B0000}"/>
    <cellStyle name="SAPBEXHLevel2 2 3 4 4" xfId="15057" xr:uid="{00000000-0005-0000-0000-0000A53B0000}"/>
    <cellStyle name="SAPBEXHLevel2 2 3 4 5" xfId="15058" xr:uid="{00000000-0005-0000-0000-0000A63B0000}"/>
    <cellStyle name="SAPBEXHLevel2 2 3 4 6" xfId="15059" xr:uid="{00000000-0005-0000-0000-0000A73B0000}"/>
    <cellStyle name="SAPBEXHLevel2 2 3 5" xfId="15060" xr:uid="{00000000-0005-0000-0000-0000A83B0000}"/>
    <cellStyle name="SAPBEXHLevel2 2 3 5 2" xfId="15061" xr:uid="{00000000-0005-0000-0000-0000A93B0000}"/>
    <cellStyle name="SAPBEXHLevel2 2 3 5 3" xfId="15062" xr:uid="{00000000-0005-0000-0000-0000AA3B0000}"/>
    <cellStyle name="SAPBEXHLevel2 2 3 5 4" xfId="15063" xr:uid="{00000000-0005-0000-0000-0000AB3B0000}"/>
    <cellStyle name="SAPBEXHLevel2 2 3 5 5" xfId="15064" xr:uid="{00000000-0005-0000-0000-0000AC3B0000}"/>
    <cellStyle name="SAPBEXHLevel2 2 3 5 6" xfId="15065" xr:uid="{00000000-0005-0000-0000-0000AD3B0000}"/>
    <cellStyle name="SAPBEXHLevel2 2 3 6" xfId="15066" xr:uid="{00000000-0005-0000-0000-0000AE3B0000}"/>
    <cellStyle name="SAPBEXHLevel2 2 3 7" xfId="15067" xr:uid="{00000000-0005-0000-0000-0000AF3B0000}"/>
    <cellStyle name="SAPBEXHLevel2 2 3 8" xfId="15068" xr:uid="{00000000-0005-0000-0000-0000B03B0000}"/>
    <cellStyle name="SAPBEXHLevel2 2 4" xfId="15069" xr:uid="{00000000-0005-0000-0000-0000B13B0000}"/>
    <cellStyle name="SAPBEXHLevel2 2 4 2" xfId="15070" xr:uid="{00000000-0005-0000-0000-0000B23B0000}"/>
    <cellStyle name="SAPBEXHLevel2 2 4 2 2" xfId="15071" xr:uid="{00000000-0005-0000-0000-0000B33B0000}"/>
    <cellStyle name="SAPBEXHLevel2 2 4 2 3" xfId="15072" xr:uid="{00000000-0005-0000-0000-0000B43B0000}"/>
    <cellStyle name="SAPBEXHLevel2 2 4 2 4" xfId="15073" xr:uid="{00000000-0005-0000-0000-0000B53B0000}"/>
    <cellStyle name="SAPBEXHLevel2 2 4 2 5" xfId="15074" xr:uid="{00000000-0005-0000-0000-0000B63B0000}"/>
    <cellStyle name="SAPBEXHLevel2 2 4 2 6" xfId="15075" xr:uid="{00000000-0005-0000-0000-0000B73B0000}"/>
    <cellStyle name="SAPBEXHLevel2 2 4 3" xfId="15076" xr:uid="{00000000-0005-0000-0000-0000B83B0000}"/>
    <cellStyle name="SAPBEXHLevel2 2 4 3 2" xfId="15077" xr:uid="{00000000-0005-0000-0000-0000B93B0000}"/>
    <cellStyle name="SAPBEXHLevel2 2 4 3 3" xfId="15078" xr:uid="{00000000-0005-0000-0000-0000BA3B0000}"/>
    <cellStyle name="SAPBEXHLevel2 2 4 3 4" xfId="15079" xr:uid="{00000000-0005-0000-0000-0000BB3B0000}"/>
    <cellStyle name="SAPBEXHLevel2 2 4 3 5" xfId="15080" xr:uid="{00000000-0005-0000-0000-0000BC3B0000}"/>
    <cellStyle name="SAPBEXHLevel2 2 4 3 6" xfId="15081" xr:uid="{00000000-0005-0000-0000-0000BD3B0000}"/>
    <cellStyle name="SAPBEXHLevel2 2 4 4" xfId="15082" xr:uid="{00000000-0005-0000-0000-0000BE3B0000}"/>
    <cellStyle name="SAPBEXHLevel2 2 4 4 2" xfId="15083" xr:uid="{00000000-0005-0000-0000-0000BF3B0000}"/>
    <cellStyle name="SAPBEXHLevel2 2 4 4 3" xfId="15084" xr:uid="{00000000-0005-0000-0000-0000C03B0000}"/>
    <cellStyle name="SAPBEXHLevel2 2 4 4 4" xfId="15085" xr:uid="{00000000-0005-0000-0000-0000C13B0000}"/>
    <cellStyle name="SAPBEXHLevel2 2 4 4 5" xfId="15086" xr:uid="{00000000-0005-0000-0000-0000C23B0000}"/>
    <cellStyle name="SAPBEXHLevel2 2 4 4 6" xfId="15087" xr:uid="{00000000-0005-0000-0000-0000C33B0000}"/>
    <cellStyle name="SAPBEXHLevel2 2 4 5" xfId="15088" xr:uid="{00000000-0005-0000-0000-0000C43B0000}"/>
    <cellStyle name="SAPBEXHLevel2 2 4 5 2" xfId="15089" xr:uid="{00000000-0005-0000-0000-0000C53B0000}"/>
    <cellStyle name="SAPBEXHLevel2 2 4 5 3" xfId="15090" xr:uid="{00000000-0005-0000-0000-0000C63B0000}"/>
    <cellStyle name="SAPBEXHLevel2 2 4 5 4" xfId="15091" xr:uid="{00000000-0005-0000-0000-0000C73B0000}"/>
    <cellStyle name="SAPBEXHLevel2 2 4 5 5" xfId="15092" xr:uid="{00000000-0005-0000-0000-0000C83B0000}"/>
    <cellStyle name="SAPBEXHLevel2 2 4 5 6" xfId="15093" xr:uid="{00000000-0005-0000-0000-0000C93B0000}"/>
    <cellStyle name="SAPBEXHLevel2 2 4 6" xfId="15094" xr:uid="{00000000-0005-0000-0000-0000CA3B0000}"/>
    <cellStyle name="SAPBEXHLevel2 2 4 7" xfId="15095" xr:uid="{00000000-0005-0000-0000-0000CB3B0000}"/>
    <cellStyle name="SAPBEXHLevel2 2 4 8" xfId="15096" xr:uid="{00000000-0005-0000-0000-0000CC3B0000}"/>
    <cellStyle name="SAPBEXHLevel2 2 5" xfId="15097" xr:uid="{00000000-0005-0000-0000-0000CD3B0000}"/>
    <cellStyle name="SAPBEXHLevel2 2 5 2" xfId="15098" xr:uid="{00000000-0005-0000-0000-0000CE3B0000}"/>
    <cellStyle name="SAPBEXHLevel2 2 5 3" xfId="15099" xr:uid="{00000000-0005-0000-0000-0000CF3B0000}"/>
    <cellStyle name="SAPBEXHLevel2 2 5 4" xfId="15100" xr:uid="{00000000-0005-0000-0000-0000D03B0000}"/>
    <cellStyle name="SAPBEXHLevel2 2 6" xfId="15101" xr:uid="{00000000-0005-0000-0000-0000D13B0000}"/>
    <cellStyle name="SAPBEXHLevel2 2 6 2" xfId="15102" xr:uid="{00000000-0005-0000-0000-0000D23B0000}"/>
    <cellStyle name="SAPBEXHLevel2 2 6 3" xfId="15103" xr:uid="{00000000-0005-0000-0000-0000D33B0000}"/>
    <cellStyle name="SAPBEXHLevel2 2 6 4" xfId="15104" xr:uid="{00000000-0005-0000-0000-0000D43B0000}"/>
    <cellStyle name="SAPBEXHLevel2 2 7" xfId="15105" xr:uid="{00000000-0005-0000-0000-0000D53B0000}"/>
    <cellStyle name="SAPBEXHLevel2 2 7 2" xfId="15106" xr:uid="{00000000-0005-0000-0000-0000D63B0000}"/>
    <cellStyle name="SAPBEXHLevel2 2 7 3" xfId="15107" xr:uid="{00000000-0005-0000-0000-0000D73B0000}"/>
    <cellStyle name="SAPBEXHLevel2 2 7 4" xfId="15108" xr:uid="{00000000-0005-0000-0000-0000D83B0000}"/>
    <cellStyle name="SAPBEXHLevel2 2 8" xfId="15109" xr:uid="{00000000-0005-0000-0000-0000D93B0000}"/>
    <cellStyle name="SAPBEXHLevel2 2 8 2" xfId="15110" xr:uid="{00000000-0005-0000-0000-0000DA3B0000}"/>
    <cellStyle name="SAPBEXHLevel2 2 8 3" xfId="15111" xr:uid="{00000000-0005-0000-0000-0000DB3B0000}"/>
    <cellStyle name="SAPBEXHLevel2 2 8 4" xfId="15112" xr:uid="{00000000-0005-0000-0000-0000DC3B0000}"/>
    <cellStyle name="SAPBEXHLevel2 2 9" xfId="15113" xr:uid="{00000000-0005-0000-0000-0000DD3B0000}"/>
    <cellStyle name="SAPBEXHLevel2 2 9 2" xfId="15114" xr:uid="{00000000-0005-0000-0000-0000DE3B0000}"/>
    <cellStyle name="SAPBEXHLevel2 2 9 3" xfId="15115" xr:uid="{00000000-0005-0000-0000-0000DF3B0000}"/>
    <cellStyle name="SAPBEXHLevel2 2 9 4" xfId="15116" xr:uid="{00000000-0005-0000-0000-0000E03B0000}"/>
    <cellStyle name="SAPBEXHLevel2 2_2009 12 09 Cash flow (2009)" xfId="15117" xr:uid="{00000000-0005-0000-0000-0000E13B0000}"/>
    <cellStyle name="SAPBEXHLevel2 20" xfId="15118" xr:uid="{00000000-0005-0000-0000-0000E23B0000}"/>
    <cellStyle name="SAPBEXHLevel2 20 2" xfId="15119" xr:uid="{00000000-0005-0000-0000-0000E33B0000}"/>
    <cellStyle name="SAPBEXHLevel2 20 3" xfId="15120" xr:uid="{00000000-0005-0000-0000-0000E43B0000}"/>
    <cellStyle name="SAPBEXHLevel2 20 4" xfId="15121" xr:uid="{00000000-0005-0000-0000-0000E53B0000}"/>
    <cellStyle name="SAPBEXHLevel2 20 5" xfId="15122" xr:uid="{00000000-0005-0000-0000-0000E63B0000}"/>
    <cellStyle name="SAPBEXHLevel2 20 6" xfId="15123" xr:uid="{00000000-0005-0000-0000-0000E73B0000}"/>
    <cellStyle name="SAPBEXHLevel2 21" xfId="15124" xr:uid="{00000000-0005-0000-0000-0000E83B0000}"/>
    <cellStyle name="SAPBEXHLevel2 21 2" xfId="15125" xr:uid="{00000000-0005-0000-0000-0000E93B0000}"/>
    <cellStyle name="SAPBEXHLevel2 21 3" xfId="15126" xr:uid="{00000000-0005-0000-0000-0000EA3B0000}"/>
    <cellStyle name="SAPBEXHLevel2 21 4" xfId="15127" xr:uid="{00000000-0005-0000-0000-0000EB3B0000}"/>
    <cellStyle name="SAPBEXHLevel2 21 5" xfId="15128" xr:uid="{00000000-0005-0000-0000-0000EC3B0000}"/>
    <cellStyle name="SAPBEXHLevel2 21 6" xfId="15129" xr:uid="{00000000-0005-0000-0000-0000ED3B0000}"/>
    <cellStyle name="SAPBEXHLevel2 22" xfId="15130" xr:uid="{00000000-0005-0000-0000-0000EE3B0000}"/>
    <cellStyle name="SAPBEXHLevel2 22 2" xfId="15131" xr:uid="{00000000-0005-0000-0000-0000EF3B0000}"/>
    <cellStyle name="SAPBEXHLevel2 22 3" xfId="15132" xr:uid="{00000000-0005-0000-0000-0000F03B0000}"/>
    <cellStyle name="SAPBEXHLevel2 22 4" xfId="15133" xr:uid="{00000000-0005-0000-0000-0000F13B0000}"/>
    <cellStyle name="SAPBEXHLevel2 22 5" xfId="15134" xr:uid="{00000000-0005-0000-0000-0000F23B0000}"/>
    <cellStyle name="SAPBEXHLevel2 22 6" xfId="15135" xr:uid="{00000000-0005-0000-0000-0000F33B0000}"/>
    <cellStyle name="SAPBEXHLevel2 23" xfId="15136" xr:uid="{00000000-0005-0000-0000-0000F43B0000}"/>
    <cellStyle name="SAPBEXHLevel2 23 2" xfId="15137" xr:uid="{00000000-0005-0000-0000-0000F53B0000}"/>
    <cellStyle name="SAPBEXHLevel2 23 3" xfId="15138" xr:uid="{00000000-0005-0000-0000-0000F63B0000}"/>
    <cellStyle name="SAPBEXHLevel2 23 4" xfId="15139" xr:uid="{00000000-0005-0000-0000-0000F73B0000}"/>
    <cellStyle name="SAPBEXHLevel2 23 5" xfId="15140" xr:uid="{00000000-0005-0000-0000-0000F83B0000}"/>
    <cellStyle name="SAPBEXHLevel2 23 6" xfId="15141" xr:uid="{00000000-0005-0000-0000-0000F93B0000}"/>
    <cellStyle name="SAPBEXHLevel2 24" xfId="15142" xr:uid="{00000000-0005-0000-0000-0000FA3B0000}"/>
    <cellStyle name="SAPBEXHLevel2 24 2" xfId="15143" xr:uid="{00000000-0005-0000-0000-0000FB3B0000}"/>
    <cellStyle name="SAPBEXHLevel2 24 3" xfId="15144" xr:uid="{00000000-0005-0000-0000-0000FC3B0000}"/>
    <cellStyle name="SAPBEXHLevel2 24 4" xfId="15145" xr:uid="{00000000-0005-0000-0000-0000FD3B0000}"/>
    <cellStyle name="SAPBEXHLevel2 24 5" xfId="15146" xr:uid="{00000000-0005-0000-0000-0000FE3B0000}"/>
    <cellStyle name="SAPBEXHLevel2 24 6" xfId="15147" xr:uid="{00000000-0005-0000-0000-0000FF3B0000}"/>
    <cellStyle name="SAPBEXHLevel2 25" xfId="15148" xr:uid="{00000000-0005-0000-0000-0000003C0000}"/>
    <cellStyle name="SAPBEXHLevel2 25 2" xfId="15149" xr:uid="{00000000-0005-0000-0000-0000013C0000}"/>
    <cellStyle name="SAPBEXHLevel2 25 3" xfId="15150" xr:uid="{00000000-0005-0000-0000-0000023C0000}"/>
    <cellStyle name="SAPBEXHLevel2 25 4" xfId="15151" xr:uid="{00000000-0005-0000-0000-0000033C0000}"/>
    <cellStyle name="SAPBEXHLevel2 25 5" xfId="15152" xr:uid="{00000000-0005-0000-0000-0000043C0000}"/>
    <cellStyle name="SAPBEXHLevel2 25 6" xfId="15153" xr:uid="{00000000-0005-0000-0000-0000053C0000}"/>
    <cellStyle name="SAPBEXHLevel2 26" xfId="15154" xr:uid="{00000000-0005-0000-0000-0000063C0000}"/>
    <cellStyle name="SAPBEXHLevel2 26 2" xfId="15155" xr:uid="{00000000-0005-0000-0000-0000073C0000}"/>
    <cellStyle name="SAPBEXHLevel2 26 3" xfId="15156" xr:uid="{00000000-0005-0000-0000-0000083C0000}"/>
    <cellStyle name="SAPBEXHLevel2 26 4" xfId="15157" xr:uid="{00000000-0005-0000-0000-0000093C0000}"/>
    <cellStyle name="SAPBEXHLevel2 26 5" xfId="15158" xr:uid="{00000000-0005-0000-0000-00000A3C0000}"/>
    <cellStyle name="SAPBEXHLevel2 26 6" xfId="15159" xr:uid="{00000000-0005-0000-0000-00000B3C0000}"/>
    <cellStyle name="SAPBEXHLevel2 27" xfId="15160" xr:uid="{00000000-0005-0000-0000-00000C3C0000}"/>
    <cellStyle name="SAPBEXHLevel2 27 2" xfId="15161" xr:uid="{00000000-0005-0000-0000-00000D3C0000}"/>
    <cellStyle name="SAPBEXHLevel2 27 3" xfId="15162" xr:uid="{00000000-0005-0000-0000-00000E3C0000}"/>
    <cellStyle name="SAPBEXHLevel2 27 4" xfId="15163" xr:uid="{00000000-0005-0000-0000-00000F3C0000}"/>
    <cellStyle name="SAPBEXHLevel2 27 5" xfId="15164" xr:uid="{00000000-0005-0000-0000-0000103C0000}"/>
    <cellStyle name="SAPBEXHLevel2 27 6" xfId="15165" xr:uid="{00000000-0005-0000-0000-0000113C0000}"/>
    <cellStyle name="SAPBEXHLevel2 28" xfId="15166" xr:uid="{00000000-0005-0000-0000-0000123C0000}"/>
    <cellStyle name="SAPBEXHLevel2 28 2" xfId="15167" xr:uid="{00000000-0005-0000-0000-0000133C0000}"/>
    <cellStyle name="SAPBEXHLevel2 28 3" xfId="15168" xr:uid="{00000000-0005-0000-0000-0000143C0000}"/>
    <cellStyle name="SAPBEXHLevel2 28 4" xfId="15169" xr:uid="{00000000-0005-0000-0000-0000153C0000}"/>
    <cellStyle name="SAPBEXHLevel2 28 5" xfId="15170" xr:uid="{00000000-0005-0000-0000-0000163C0000}"/>
    <cellStyle name="SAPBEXHLevel2 28 6" xfId="15171" xr:uid="{00000000-0005-0000-0000-0000173C0000}"/>
    <cellStyle name="SAPBEXHLevel2 29" xfId="15172" xr:uid="{00000000-0005-0000-0000-0000183C0000}"/>
    <cellStyle name="SAPBEXHLevel2 29 2" xfId="15173" xr:uid="{00000000-0005-0000-0000-0000193C0000}"/>
    <cellStyle name="SAPBEXHLevel2 29 3" xfId="15174" xr:uid="{00000000-0005-0000-0000-00001A3C0000}"/>
    <cellStyle name="SAPBEXHLevel2 29 4" xfId="15175" xr:uid="{00000000-0005-0000-0000-00001B3C0000}"/>
    <cellStyle name="SAPBEXHLevel2 29 5" xfId="15176" xr:uid="{00000000-0005-0000-0000-00001C3C0000}"/>
    <cellStyle name="SAPBEXHLevel2 29 6" xfId="15177" xr:uid="{00000000-0005-0000-0000-00001D3C0000}"/>
    <cellStyle name="SAPBEXHLevel2 3" xfId="15178" xr:uid="{00000000-0005-0000-0000-00001E3C0000}"/>
    <cellStyle name="SAPBEXHLevel2 3 10" xfId="15179" xr:uid="{00000000-0005-0000-0000-00001F3C0000}"/>
    <cellStyle name="SAPBEXHLevel2 3 11" xfId="15180" xr:uid="{00000000-0005-0000-0000-0000203C0000}"/>
    <cellStyle name="SAPBEXHLevel2 3 12" xfId="15181" xr:uid="{00000000-0005-0000-0000-0000213C0000}"/>
    <cellStyle name="SAPBEXHLevel2 3 2" xfId="15182" xr:uid="{00000000-0005-0000-0000-0000223C0000}"/>
    <cellStyle name="SAPBEXHLevel2 3 2 2" xfId="15183" xr:uid="{00000000-0005-0000-0000-0000233C0000}"/>
    <cellStyle name="SAPBEXHLevel2 3 2 2 2" xfId="15184" xr:uid="{00000000-0005-0000-0000-0000243C0000}"/>
    <cellStyle name="SAPBEXHLevel2 3 2 2 3" xfId="15185" xr:uid="{00000000-0005-0000-0000-0000253C0000}"/>
    <cellStyle name="SAPBEXHLevel2 3 2 2 4" xfId="15186" xr:uid="{00000000-0005-0000-0000-0000263C0000}"/>
    <cellStyle name="SAPBEXHLevel2 3 2 2 5" xfId="15187" xr:uid="{00000000-0005-0000-0000-0000273C0000}"/>
    <cellStyle name="SAPBEXHLevel2 3 2 2 6" xfId="15188" xr:uid="{00000000-0005-0000-0000-0000283C0000}"/>
    <cellStyle name="SAPBEXHLevel2 3 2 3" xfId="15189" xr:uid="{00000000-0005-0000-0000-0000293C0000}"/>
    <cellStyle name="SAPBEXHLevel2 3 2 3 2" xfId="15190" xr:uid="{00000000-0005-0000-0000-00002A3C0000}"/>
    <cellStyle name="SAPBEXHLevel2 3 2 3 3" xfId="15191" xr:uid="{00000000-0005-0000-0000-00002B3C0000}"/>
    <cellStyle name="SAPBEXHLevel2 3 2 3 4" xfId="15192" xr:uid="{00000000-0005-0000-0000-00002C3C0000}"/>
    <cellStyle name="SAPBEXHLevel2 3 2 3 5" xfId="15193" xr:uid="{00000000-0005-0000-0000-00002D3C0000}"/>
    <cellStyle name="SAPBEXHLevel2 3 2 3 6" xfId="15194" xr:uid="{00000000-0005-0000-0000-00002E3C0000}"/>
    <cellStyle name="SAPBEXHLevel2 3 2 4" xfId="15195" xr:uid="{00000000-0005-0000-0000-00002F3C0000}"/>
    <cellStyle name="SAPBEXHLevel2 3 2 4 2" xfId="15196" xr:uid="{00000000-0005-0000-0000-0000303C0000}"/>
    <cellStyle name="SAPBEXHLevel2 3 2 4 3" xfId="15197" xr:uid="{00000000-0005-0000-0000-0000313C0000}"/>
    <cellStyle name="SAPBEXHLevel2 3 2 4 4" xfId="15198" xr:uid="{00000000-0005-0000-0000-0000323C0000}"/>
    <cellStyle name="SAPBEXHLevel2 3 2 4 5" xfId="15199" xr:uid="{00000000-0005-0000-0000-0000333C0000}"/>
    <cellStyle name="SAPBEXHLevel2 3 2 4 6" xfId="15200" xr:uid="{00000000-0005-0000-0000-0000343C0000}"/>
    <cellStyle name="SAPBEXHLevel2 3 2 5" xfId="15201" xr:uid="{00000000-0005-0000-0000-0000353C0000}"/>
    <cellStyle name="SAPBEXHLevel2 3 2 5 2" xfId="15202" xr:uid="{00000000-0005-0000-0000-0000363C0000}"/>
    <cellStyle name="SAPBEXHLevel2 3 2 5 3" xfId="15203" xr:uid="{00000000-0005-0000-0000-0000373C0000}"/>
    <cellStyle name="SAPBEXHLevel2 3 2 5 4" xfId="15204" xr:uid="{00000000-0005-0000-0000-0000383C0000}"/>
    <cellStyle name="SAPBEXHLevel2 3 2 5 5" xfId="15205" xr:uid="{00000000-0005-0000-0000-0000393C0000}"/>
    <cellStyle name="SAPBEXHLevel2 3 2 5 6" xfId="15206" xr:uid="{00000000-0005-0000-0000-00003A3C0000}"/>
    <cellStyle name="SAPBEXHLevel2 3 2 6" xfId="15207" xr:uid="{00000000-0005-0000-0000-00003B3C0000}"/>
    <cellStyle name="SAPBEXHLevel2 3 2 7" xfId="15208" xr:uid="{00000000-0005-0000-0000-00003C3C0000}"/>
    <cellStyle name="SAPBEXHLevel2 3 2 8" xfId="15209" xr:uid="{00000000-0005-0000-0000-00003D3C0000}"/>
    <cellStyle name="SAPBEXHLevel2 3 3" xfId="15210" xr:uid="{00000000-0005-0000-0000-00003E3C0000}"/>
    <cellStyle name="SAPBEXHLevel2 3 3 2" xfId="15211" xr:uid="{00000000-0005-0000-0000-00003F3C0000}"/>
    <cellStyle name="SAPBEXHLevel2 3 3 3" xfId="15212" xr:uid="{00000000-0005-0000-0000-0000403C0000}"/>
    <cellStyle name="SAPBEXHLevel2 3 3 4" xfId="15213" xr:uid="{00000000-0005-0000-0000-0000413C0000}"/>
    <cellStyle name="SAPBEXHLevel2 3 3 5" xfId="15214" xr:uid="{00000000-0005-0000-0000-0000423C0000}"/>
    <cellStyle name="SAPBEXHLevel2 3 3 6" xfId="15215" xr:uid="{00000000-0005-0000-0000-0000433C0000}"/>
    <cellStyle name="SAPBEXHLevel2 3 4" xfId="15216" xr:uid="{00000000-0005-0000-0000-0000443C0000}"/>
    <cellStyle name="SAPBEXHLevel2 3 4 2" xfId="15217" xr:uid="{00000000-0005-0000-0000-0000453C0000}"/>
    <cellStyle name="SAPBEXHLevel2 3 4 3" xfId="15218" xr:uid="{00000000-0005-0000-0000-0000463C0000}"/>
    <cellStyle name="SAPBEXHLevel2 3 4 4" xfId="15219" xr:uid="{00000000-0005-0000-0000-0000473C0000}"/>
    <cellStyle name="SAPBEXHLevel2 3 4 5" xfId="15220" xr:uid="{00000000-0005-0000-0000-0000483C0000}"/>
    <cellStyle name="SAPBEXHLevel2 3 4 6" xfId="15221" xr:uid="{00000000-0005-0000-0000-0000493C0000}"/>
    <cellStyle name="SAPBEXHLevel2 3 5" xfId="15222" xr:uid="{00000000-0005-0000-0000-00004A3C0000}"/>
    <cellStyle name="SAPBEXHLevel2 3 5 2" xfId="15223" xr:uid="{00000000-0005-0000-0000-00004B3C0000}"/>
    <cellStyle name="SAPBEXHLevel2 3 5 3" xfId="15224" xr:uid="{00000000-0005-0000-0000-00004C3C0000}"/>
    <cellStyle name="SAPBEXHLevel2 3 5 4" xfId="15225" xr:uid="{00000000-0005-0000-0000-00004D3C0000}"/>
    <cellStyle name="SAPBEXHLevel2 3 6" xfId="15226" xr:uid="{00000000-0005-0000-0000-00004E3C0000}"/>
    <cellStyle name="SAPBEXHLevel2 3 6 2" xfId="15227" xr:uid="{00000000-0005-0000-0000-00004F3C0000}"/>
    <cellStyle name="SAPBEXHLevel2 3 6 3" xfId="15228" xr:uid="{00000000-0005-0000-0000-0000503C0000}"/>
    <cellStyle name="SAPBEXHLevel2 3 6 4" xfId="15229" xr:uid="{00000000-0005-0000-0000-0000513C0000}"/>
    <cellStyle name="SAPBEXHLevel2 3 7" xfId="15230" xr:uid="{00000000-0005-0000-0000-0000523C0000}"/>
    <cellStyle name="SAPBEXHLevel2 3 7 2" xfId="15231" xr:uid="{00000000-0005-0000-0000-0000533C0000}"/>
    <cellStyle name="SAPBEXHLevel2 3 7 3" xfId="15232" xr:uid="{00000000-0005-0000-0000-0000543C0000}"/>
    <cellStyle name="SAPBEXHLevel2 3 7 4" xfId="15233" xr:uid="{00000000-0005-0000-0000-0000553C0000}"/>
    <cellStyle name="SAPBEXHLevel2 3 8" xfId="15234" xr:uid="{00000000-0005-0000-0000-0000563C0000}"/>
    <cellStyle name="SAPBEXHLevel2 3 9" xfId="15235" xr:uid="{00000000-0005-0000-0000-0000573C0000}"/>
    <cellStyle name="SAPBEXHLevel2 30" xfId="15236" xr:uid="{00000000-0005-0000-0000-0000583C0000}"/>
    <cellStyle name="SAPBEXHLevel2 30 2" xfId="15237" xr:uid="{00000000-0005-0000-0000-0000593C0000}"/>
    <cellStyle name="SAPBEXHLevel2 30 3" xfId="15238" xr:uid="{00000000-0005-0000-0000-00005A3C0000}"/>
    <cellStyle name="SAPBEXHLevel2 30 4" xfId="15239" xr:uid="{00000000-0005-0000-0000-00005B3C0000}"/>
    <cellStyle name="SAPBEXHLevel2 30 5" xfId="15240" xr:uid="{00000000-0005-0000-0000-00005C3C0000}"/>
    <cellStyle name="SAPBEXHLevel2 30 6" xfId="15241" xr:uid="{00000000-0005-0000-0000-00005D3C0000}"/>
    <cellStyle name="SAPBEXHLevel2 31" xfId="15242" xr:uid="{00000000-0005-0000-0000-00005E3C0000}"/>
    <cellStyle name="SAPBEXHLevel2 31 2" xfId="15243" xr:uid="{00000000-0005-0000-0000-00005F3C0000}"/>
    <cellStyle name="SAPBEXHLevel2 31 3" xfId="15244" xr:uid="{00000000-0005-0000-0000-0000603C0000}"/>
    <cellStyle name="SAPBEXHLevel2 31 4" xfId="15245" xr:uid="{00000000-0005-0000-0000-0000613C0000}"/>
    <cellStyle name="SAPBEXHLevel2 31 5" xfId="15246" xr:uid="{00000000-0005-0000-0000-0000623C0000}"/>
    <cellStyle name="SAPBEXHLevel2 31 6" xfId="15247" xr:uid="{00000000-0005-0000-0000-0000633C0000}"/>
    <cellStyle name="SAPBEXHLevel2 32" xfId="15248" xr:uid="{00000000-0005-0000-0000-0000643C0000}"/>
    <cellStyle name="SAPBEXHLevel2 32 2" xfId="15249" xr:uid="{00000000-0005-0000-0000-0000653C0000}"/>
    <cellStyle name="SAPBEXHLevel2 32 3" xfId="15250" xr:uid="{00000000-0005-0000-0000-0000663C0000}"/>
    <cellStyle name="SAPBEXHLevel2 32 4" xfId="15251" xr:uid="{00000000-0005-0000-0000-0000673C0000}"/>
    <cellStyle name="SAPBEXHLevel2 32 5" xfId="15252" xr:uid="{00000000-0005-0000-0000-0000683C0000}"/>
    <cellStyle name="SAPBEXHLevel2 32 6" xfId="15253" xr:uid="{00000000-0005-0000-0000-0000693C0000}"/>
    <cellStyle name="SAPBEXHLevel2 33" xfId="15254" xr:uid="{00000000-0005-0000-0000-00006A3C0000}"/>
    <cellStyle name="SAPBEXHLevel2 34" xfId="15255" xr:uid="{00000000-0005-0000-0000-00006B3C0000}"/>
    <cellStyle name="SAPBEXHLevel2 35" xfId="15256" xr:uid="{00000000-0005-0000-0000-00006C3C0000}"/>
    <cellStyle name="SAPBEXHLevel2 36" xfId="15257" xr:uid="{00000000-0005-0000-0000-00006D3C0000}"/>
    <cellStyle name="SAPBEXHLevel2 37" xfId="15258" xr:uid="{00000000-0005-0000-0000-00006E3C0000}"/>
    <cellStyle name="SAPBEXHLevel2 38" xfId="15259" xr:uid="{00000000-0005-0000-0000-00006F3C0000}"/>
    <cellStyle name="SAPBEXHLevel2 39" xfId="15260" xr:uid="{00000000-0005-0000-0000-0000703C0000}"/>
    <cellStyle name="SAPBEXHLevel2 4" xfId="15261" xr:uid="{00000000-0005-0000-0000-0000713C0000}"/>
    <cellStyle name="SAPBEXHLevel2 4 2" xfId="15262" xr:uid="{00000000-0005-0000-0000-0000723C0000}"/>
    <cellStyle name="SAPBEXHLevel2 4 3" xfId="15263" xr:uid="{00000000-0005-0000-0000-0000733C0000}"/>
    <cellStyle name="SAPBEXHLevel2 4 4" xfId="15264" xr:uid="{00000000-0005-0000-0000-0000743C0000}"/>
    <cellStyle name="SAPBEXHLevel2 4 5" xfId="15265" xr:uid="{00000000-0005-0000-0000-0000753C0000}"/>
    <cellStyle name="SAPBEXHLevel2 4 6" xfId="15266" xr:uid="{00000000-0005-0000-0000-0000763C0000}"/>
    <cellStyle name="SAPBEXHLevel2 40" xfId="15267" xr:uid="{00000000-0005-0000-0000-0000773C0000}"/>
    <cellStyle name="SAPBEXHLevel2 41" xfId="15268" xr:uid="{00000000-0005-0000-0000-0000783C0000}"/>
    <cellStyle name="SAPBEXHLevel2 42" xfId="15269" xr:uid="{00000000-0005-0000-0000-0000793C0000}"/>
    <cellStyle name="SAPBEXHLevel2 43" xfId="15270" xr:uid="{00000000-0005-0000-0000-00007A3C0000}"/>
    <cellStyle name="SAPBEXHLevel2 44" xfId="15271" xr:uid="{00000000-0005-0000-0000-00007B3C0000}"/>
    <cellStyle name="SAPBEXHLevel2 45" xfId="15272" xr:uid="{00000000-0005-0000-0000-00007C3C0000}"/>
    <cellStyle name="SAPBEXHLevel2 46" xfId="15273" xr:uid="{00000000-0005-0000-0000-00007D3C0000}"/>
    <cellStyle name="SAPBEXHLevel2 47" xfId="15274" xr:uid="{00000000-0005-0000-0000-00007E3C0000}"/>
    <cellStyle name="SAPBEXHLevel2 48" xfId="15275" xr:uid="{00000000-0005-0000-0000-00007F3C0000}"/>
    <cellStyle name="SAPBEXHLevel2 49" xfId="15276" xr:uid="{00000000-0005-0000-0000-0000803C0000}"/>
    <cellStyle name="SAPBEXHLevel2 5" xfId="15277" xr:uid="{00000000-0005-0000-0000-0000813C0000}"/>
    <cellStyle name="SAPBEXHLevel2 5 2" xfId="15278" xr:uid="{00000000-0005-0000-0000-0000823C0000}"/>
    <cellStyle name="SAPBEXHLevel2 5 3" xfId="15279" xr:uid="{00000000-0005-0000-0000-0000833C0000}"/>
    <cellStyle name="SAPBEXHLevel2 5 4" xfId="15280" xr:uid="{00000000-0005-0000-0000-0000843C0000}"/>
    <cellStyle name="SAPBEXHLevel2 5 5" xfId="15281" xr:uid="{00000000-0005-0000-0000-0000853C0000}"/>
    <cellStyle name="SAPBEXHLevel2 5 6" xfId="15282" xr:uid="{00000000-0005-0000-0000-0000863C0000}"/>
    <cellStyle name="SAPBEXHLevel2 50" xfId="15283" xr:uid="{00000000-0005-0000-0000-0000873C0000}"/>
    <cellStyle name="SAPBEXHLevel2 51" xfId="15284" xr:uid="{00000000-0005-0000-0000-0000883C0000}"/>
    <cellStyle name="SAPBEXHLevel2 52" xfId="15285" xr:uid="{00000000-0005-0000-0000-0000893C0000}"/>
    <cellStyle name="SAPBEXHLevel2 53" xfId="15286" xr:uid="{00000000-0005-0000-0000-00008A3C0000}"/>
    <cellStyle name="SAPBEXHLevel2 54" xfId="15287" xr:uid="{00000000-0005-0000-0000-00008B3C0000}"/>
    <cellStyle name="SAPBEXHLevel2 55" xfId="15288" xr:uid="{00000000-0005-0000-0000-00008C3C0000}"/>
    <cellStyle name="SAPBEXHLevel2 56" xfId="15289" xr:uid="{00000000-0005-0000-0000-00008D3C0000}"/>
    <cellStyle name="SAPBEXHLevel2 57" xfId="15290" xr:uid="{00000000-0005-0000-0000-00008E3C0000}"/>
    <cellStyle name="SAPBEXHLevel2 58" xfId="15291" xr:uid="{00000000-0005-0000-0000-00008F3C0000}"/>
    <cellStyle name="SAPBEXHLevel2 59" xfId="15292" xr:uid="{00000000-0005-0000-0000-0000903C0000}"/>
    <cellStyle name="SAPBEXHLevel2 6" xfId="15293" xr:uid="{00000000-0005-0000-0000-0000913C0000}"/>
    <cellStyle name="SAPBEXHLevel2 6 10" xfId="15294" xr:uid="{00000000-0005-0000-0000-0000923C0000}"/>
    <cellStyle name="SAPBEXHLevel2 6 2" xfId="15295" xr:uid="{00000000-0005-0000-0000-0000933C0000}"/>
    <cellStyle name="SAPBEXHLevel2 6 2 2" xfId="15296" xr:uid="{00000000-0005-0000-0000-0000943C0000}"/>
    <cellStyle name="SAPBEXHLevel2 6 2 3" xfId="15297" xr:uid="{00000000-0005-0000-0000-0000953C0000}"/>
    <cellStyle name="SAPBEXHLevel2 6 2 4" xfId="15298" xr:uid="{00000000-0005-0000-0000-0000963C0000}"/>
    <cellStyle name="SAPBEXHLevel2 6 3" xfId="15299" xr:uid="{00000000-0005-0000-0000-0000973C0000}"/>
    <cellStyle name="SAPBEXHLevel2 6 3 2" xfId="15300" xr:uid="{00000000-0005-0000-0000-0000983C0000}"/>
    <cellStyle name="SAPBEXHLevel2 6 3 3" xfId="15301" xr:uid="{00000000-0005-0000-0000-0000993C0000}"/>
    <cellStyle name="SAPBEXHLevel2 6 3 4" xfId="15302" xr:uid="{00000000-0005-0000-0000-00009A3C0000}"/>
    <cellStyle name="SAPBEXHLevel2 6 4" xfId="15303" xr:uid="{00000000-0005-0000-0000-00009B3C0000}"/>
    <cellStyle name="SAPBEXHLevel2 6 4 2" xfId="15304" xr:uid="{00000000-0005-0000-0000-00009C3C0000}"/>
    <cellStyle name="SAPBEXHLevel2 6 4 3" xfId="15305" xr:uid="{00000000-0005-0000-0000-00009D3C0000}"/>
    <cellStyle name="SAPBEXHLevel2 6 4 4" xfId="15306" xr:uid="{00000000-0005-0000-0000-00009E3C0000}"/>
    <cellStyle name="SAPBEXHLevel2 6 5" xfId="15307" xr:uid="{00000000-0005-0000-0000-00009F3C0000}"/>
    <cellStyle name="SAPBEXHLevel2 6 5 2" xfId="15308" xr:uid="{00000000-0005-0000-0000-0000A03C0000}"/>
    <cellStyle name="SAPBEXHLevel2 6 5 3" xfId="15309" xr:uid="{00000000-0005-0000-0000-0000A13C0000}"/>
    <cellStyle name="SAPBEXHLevel2 6 5 4" xfId="15310" xr:uid="{00000000-0005-0000-0000-0000A23C0000}"/>
    <cellStyle name="SAPBEXHLevel2 6 6" xfId="15311" xr:uid="{00000000-0005-0000-0000-0000A33C0000}"/>
    <cellStyle name="SAPBEXHLevel2 6 7" xfId="15312" xr:uid="{00000000-0005-0000-0000-0000A43C0000}"/>
    <cellStyle name="SAPBEXHLevel2 6 8" xfId="15313" xr:uid="{00000000-0005-0000-0000-0000A53C0000}"/>
    <cellStyle name="SAPBEXHLevel2 6 9" xfId="15314" xr:uid="{00000000-0005-0000-0000-0000A63C0000}"/>
    <cellStyle name="SAPBEXHLevel2 60" xfId="15315" xr:uid="{00000000-0005-0000-0000-0000A73C0000}"/>
    <cellStyle name="SAPBEXHLevel2 61" xfId="15316" xr:uid="{00000000-0005-0000-0000-0000A83C0000}"/>
    <cellStyle name="SAPBEXHLevel2 62" xfId="15317" xr:uid="{00000000-0005-0000-0000-0000A93C0000}"/>
    <cellStyle name="SAPBEXHLevel2 63" xfId="15318" xr:uid="{00000000-0005-0000-0000-0000AA3C0000}"/>
    <cellStyle name="SAPBEXHLevel2 64" xfId="15319" xr:uid="{00000000-0005-0000-0000-0000AB3C0000}"/>
    <cellStyle name="SAPBEXHLevel2 65" xfId="15320" xr:uid="{00000000-0005-0000-0000-0000AC3C0000}"/>
    <cellStyle name="SAPBEXHLevel2 66" xfId="15321" xr:uid="{00000000-0005-0000-0000-0000AD3C0000}"/>
    <cellStyle name="SAPBEXHLevel2 67" xfId="15322" xr:uid="{00000000-0005-0000-0000-0000AE3C0000}"/>
    <cellStyle name="SAPBEXHLevel2 68" xfId="15323" xr:uid="{00000000-0005-0000-0000-0000AF3C0000}"/>
    <cellStyle name="SAPBEXHLevel2 69" xfId="15324" xr:uid="{00000000-0005-0000-0000-0000B03C0000}"/>
    <cellStyle name="SAPBEXHLevel2 7" xfId="15325" xr:uid="{00000000-0005-0000-0000-0000B13C0000}"/>
    <cellStyle name="SAPBEXHLevel2 7 10" xfId="15326" xr:uid="{00000000-0005-0000-0000-0000B23C0000}"/>
    <cellStyle name="SAPBEXHLevel2 7 2" xfId="15327" xr:uid="{00000000-0005-0000-0000-0000B33C0000}"/>
    <cellStyle name="SAPBEXHLevel2 7 2 2" xfId="15328" xr:uid="{00000000-0005-0000-0000-0000B43C0000}"/>
    <cellStyle name="SAPBEXHLevel2 7 2 3" xfId="15329" xr:uid="{00000000-0005-0000-0000-0000B53C0000}"/>
    <cellStyle name="SAPBEXHLevel2 7 2 4" xfId="15330" xr:uid="{00000000-0005-0000-0000-0000B63C0000}"/>
    <cellStyle name="SAPBEXHLevel2 7 3" xfId="15331" xr:uid="{00000000-0005-0000-0000-0000B73C0000}"/>
    <cellStyle name="SAPBEXHLevel2 7 3 2" xfId="15332" xr:uid="{00000000-0005-0000-0000-0000B83C0000}"/>
    <cellStyle name="SAPBEXHLevel2 7 3 3" xfId="15333" xr:uid="{00000000-0005-0000-0000-0000B93C0000}"/>
    <cellStyle name="SAPBEXHLevel2 7 3 4" xfId="15334" xr:uid="{00000000-0005-0000-0000-0000BA3C0000}"/>
    <cellStyle name="SAPBEXHLevel2 7 4" xfId="15335" xr:uid="{00000000-0005-0000-0000-0000BB3C0000}"/>
    <cellStyle name="SAPBEXHLevel2 7 4 2" xfId="15336" xr:uid="{00000000-0005-0000-0000-0000BC3C0000}"/>
    <cellStyle name="SAPBEXHLevel2 7 4 3" xfId="15337" xr:uid="{00000000-0005-0000-0000-0000BD3C0000}"/>
    <cellStyle name="SAPBEXHLevel2 7 4 4" xfId="15338" xr:uid="{00000000-0005-0000-0000-0000BE3C0000}"/>
    <cellStyle name="SAPBEXHLevel2 7 5" xfId="15339" xr:uid="{00000000-0005-0000-0000-0000BF3C0000}"/>
    <cellStyle name="SAPBEXHLevel2 7 5 2" xfId="15340" xr:uid="{00000000-0005-0000-0000-0000C03C0000}"/>
    <cellStyle name="SAPBEXHLevel2 7 5 3" xfId="15341" xr:uid="{00000000-0005-0000-0000-0000C13C0000}"/>
    <cellStyle name="SAPBEXHLevel2 7 5 4" xfId="15342" xr:uid="{00000000-0005-0000-0000-0000C23C0000}"/>
    <cellStyle name="SAPBEXHLevel2 7 6" xfId="15343" xr:uid="{00000000-0005-0000-0000-0000C33C0000}"/>
    <cellStyle name="SAPBEXHLevel2 7 7" xfId="15344" xr:uid="{00000000-0005-0000-0000-0000C43C0000}"/>
    <cellStyle name="SAPBEXHLevel2 7 8" xfId="15345" xr:uid="{00000000-0005-0000-0000-0000C53C0000}"/>
    <cellStyle name="SAPBEXHLevel2 7 9" xfId="15346" xr:uid="{00000000-0005-0000-0000-0000C63C0000}"/>
    <cellStyle name="SAPBEXHLevel2 70" xfId="15347" xr:uid="{00000000-0005-0000-0000-0000C73C0000}"/>
    <cellStyle name="SAPBEXHLevel2 71" xfId="15348" xr:uid="{00000000-0005-0000-0000-0000C83C0000}"/>
    <cellStyle name="SAPBEXHLevel2 72" xfId="15349" xr:uid="{00000000-0005-0000-0000-0000C93C0000}"/>
    <cellStyle name="SAPBEXHLevel2 73" xfId="15350" xr:uid="{00000000-0005-0000-0000-0000CA3C0000}"/>
    <cellStyle name="SAPBEXHLevel2 74" xfId="15351" xr:uid="{00000000-0005-0000-0000-0000CB3C0000}"/>
    <cellStyle name="SAPBEXHLevel2 75" xfId="15352" xr:uid="{00000000-0005-0000-0000-0000CC3C0000}"/>
    <cellStyle name="SAPBEXHLevel2 76" xfId="15353" xr:uid="{00000000-0005-0000-0000-0000CD3C0000}"/>
    <cellStyle name="SAPBEXHLevel2 77" xfId="15354" xr:uid="{00000000-0005-0000-0000-0000CE3C0000}"/>
    <cellStyle name="SAPBEXHLevel2 78" xfId="15355" xr:uid="{00000000-0005-0000-0000-0000CF3C0000}"/>
    <cellStyle name="SAPBEXHLevel2 79" xfId="15356" xr:uid="{00000000-0005-0000-0000-0000D03C0000}"/>
    <cellStyle name="SAPBEXHLevel2 8" xfId="15357" xr:uid="{00000000-0005-0000-0000-0000D13C0000}"/>
    <cellStyle name="SAPBEXHLevel2 8 2" xfId="15358" xr:uid="{00000000-0005-0000-0000-0000D23C0000}"/>
    <cellStyle name="SAPBEXHLevel2 8 3" xfId="15359" xr:uid="{00000000-0005-0000-0000-0000D33C0000}"/>
    <cellStyle name="SAPBEXHLevel2 8 4" xfId="15360" xr:uid="{00000000-0005-0000-0000-0000D43C0000}"/>
    <cellStyle name="SAPBEXHLevel2 8 5" xfId="15361" xr:uid="{00000000-0005-0000-0000-0000D53C0000}"/>
    <cellStyle name="SAPBEXHLevel2 8 6" xfId="15362" xr:uid="{00000000-0005-0000-0000-0000D63C0000}"/>
    <cellStyle name="SAPBEXHLevel2 80" xfId="15363" xr:uid="{00000000-0005-0000-0000-0000D73C0000}"/>
    <cellStyle name="SAPBEXHLevel2 81" xfId="15364" xr:uid="{00000000-0005-0000-0000-0000D83C0000}"/>
    <cellStyle name="SAPBEXHLevel2 82" xfId="15365" xr:uid="{00000000-0005-0000-0000-0000D93C0000}"/>
    <cellStyle name="SAPBEXHLevel2 83" xfId="15366" xr:uid="{00000000-0005-0000-0000-0000DA3C0000}"/>
    <cellStyle name="SAPBEXHLevel2 84" xfId="15367" xr:uid="{00000000-0005-0000-0000-0000DB3C0000}"/>
    <cellStyle name="SAPBEXHLevel2 85" xfId="15368" xr:uid="{00000000-0005-0000-0000-0000DC3C0000}"/>
    <cellStyle name="SAPBEXHLevel2 86" xfId="15369" xr:uid="{00000000-0005-0000-0000-0000DD3C0000}"/>
    <cellStyle name="SAPBEXHLevel2 87" xfId="15370" xr:uid="{00000000-0005-0000-0000-0000DE3C0000}"/>
    <cellStyle name="SAPBEXHLevel2 88" xfId="15371" xr:uid="{00000000-0005-0000-0000-0000DF3C0000}"/>
    <cellStyle name="SAPBEXHLevel2 89" xfId="15372" xr:uid="{00000000-0005-0000-0000-0000E03C0000}"/>
    <cellStyle name="SAPBEXHLevel2 9" xfId="15373" xr:uid="{00000000-0005-0000-0000-0000E13C0000}"/>
    <cellStyle name="SAPBEXHLevel2 9 2" xfId="15374" xr:uid="{00000000-0005-0000-0000-0000E23C0000}"/>
    <cellStyle name="SAPBEXHLevel2 9 3" xfId="15375" xr:uid="{00000000-0005-0000-0000-0000E33C0000}"/>
    <cellStyle name="SAPBEXHLevel2 9 4" xfId="15376" xr:uid="{00000000-0005-0000-0000-0000E43C0000}"/>
    <cellStyle name="SAPBEXHLevel2 9 5" xfId="15377" xr:uid="{00000000-0005-0000-0000-0000E53C0000}"/>
    <cellStyle name="SAPBEXHLevel2 9 6" xfId="15378" xr:uid="{00000000-0005-0000-0000-0000E63C0000}"/>
    <cellStyle name="SAPBEXHLevel2 90" xfId="15379" xr:uid="{00000000-0005-0000-0000-0000E73C0000}"/>
    <cellStyle name="SAPBEXHLevel2 91" xfId="15380" xr:uid="{00000000-0005-0000-0000-0000E83C0000}"/>
    <cellStyle name="SAPBEXHLevel2 92" xfId="15381" xr:uid="{00000000-0005-0000-0000-0000E93C0000}"/>
    <cellStyle name="SAPBEXHLevel2 93" xfId="15382" xr:uid="{00000000-0005-0000-0000-0000EA3C0000}"/>
    <cellStyle name="SAPBEXHLevel2 94" xfId="15383" xr:uid="{00000000-0005-0000-0000-0000EB3C0000}"/>
    <cellStyle name="SAPBEXHLevel2 95" xfId="15384" xr:uid="{00000000-0005-0000-0000-0000EC3C0000}"/>
    <cellStyle name="SAPBEXHLevel2 96" xfId="15385" xr:uid="{00000000-0005-0000-0000-0000ED3C0000}"/>
    <cellStyle name="SAPBEXHLevel2 97" xfId="15386" xr:uid="{00000000-0005-0000-0000-0000EE3C0000}"/>
    <cellStyle name="SAPBEXHLevel2 98" xfId="15387" xr:uid="{00000000-0005-0000-0000-0000EF3C0000}"/>
    <cellStyle name="SAPBEXHLevel2 99" xfId="15388" xr:uid="{00000000-0005-0000-0000-0000F03C0000}"/>
    <cellStyle name="SAPBEXHLevel2_2009 12 09 Cash flow (2009)" xfId="15389" xr:uid="{00000000-0005-0000-0000-0000F13C0000}"/>
    <cellStyle name="SAPBEXHLevel2X" xfId="15390" xr:uid="{00000000-0005-0000-0000-0000F23C0000}"/>
    <cellStyle name="SAPBEXHLevel2X 10" xfId="15391" xr:uid="{00000000-0005-0000-0000-0000F33C0000}"/>
    <cellStyle name="SAPBEXHLevel2X 10 2" xfId="15392" xr:uid="{00000000-0005-0000-0000-0000F43C0000}"/>
    <cellStyle name="SAPBEXHLevel2X 10 3" xfId="15393" xr:uid="{00000000-0005-0000-0000-0000F53C0000}"/>
    <cellStyle name="SAPBEXHLevel2X 10 4" xfId="15394" xr:uid="{00000000-0005-0000-0000-0000F63C0000}"/>
    <cellStyle name="SAPBEXHLevel2X 10 5" xfId="15395" xr:uid="{00000000-0005-0000-0000-0000F73C0000}"/>
    <cellStyle name="SAPBEXHLevel2X 10 6" xfId="15396" xr:uid="{00000000-0005-0000-0000-0000F83C0000}"/>
    <cellStyle name="SAPBEXHLevel2X 100" xfId="15397" xr:uid="{00000000-0005-0000-0000-0000F93C0000}"/>
    <cellStyle name="SAPBEXHLevel2X 101" xfId="15398" xr:uid="{00000000-0005-0000-0000-0000FA3C0000}"/>
    <cellStyle name="SAPBEXHLevel2X 102" xfId="15399" xr:uid="{00000000-0005-0000-0000-0000FB3C0000}"/>
    <cellStyle name="SAPBEXHLevel2X 103" xfId="15400" xr:uid="{00000000-0005-0000-0000-0000FC3C0000}"/>
    <cellStyle name="SAPBEXHLevel2X 104" xfId="15401" xr:uid="{00000000-0005-0000-0000-0000FD3C0000}"/>
    <cellStyle name="SAPBEXHLevel2X 105" xfId="15402" xr:uid="{00000000-0005-0000-0000-0000FE3C0000}"/>
    <cellStyle name="SAPBEXHLevel2X 106" xfId="15403" xr:uid="{00000000-0005-0000-0000-0000FF3C0000}"/>
    <cellStyle name="SAPBEXHLevel2X 107" xfId="15404" xr:uid="{00000000-0005-0000-0000-0000003D0000}"/>
    <cellStyle name="SAPBEXHLevel2X 108" xfId="15405" xr:uid="{00000000-0005-0000-0000-0000013D0000}"/>
    <cellStyle name="SAPBEXHLevel2X 109" xfId="15406" xr:uid="{00000000-0005-0000-0000-0000023D0000}"/>
    <cellStyle name="SAPBEXHLevel2X 11" xfId="15407" xr:uid="{00000000-0005-0000-0000-0000033D0000}"/>
    <cellStyle name="SAPBEXHLevel2X 11 2" xfId="15408" xr:uid="{00000000-0005-0000-0000-0000043D0000}"/>
    <cellStyle name="SAPBEXHLevel2X 11 3" xfId="15409" xr:uid="{00000000-0005-0000-0000-0000053D0000}"/>
    <cellStyle name="SAPBEXHLevel2X 11 4" xfId="15410" xr:uid="{00000000-0005-0000-0000-0000063D0000}"/>
    <cellStyle name="SAPBEXHLevel2X 11 5" xfId="15411" xr:uid="{00000000-0005-0000-0000-0000073D0000}"/>
    <cellStyle name="SAPBEXHLevel2X 11 6" xfId="15412" xr:uid="{00000000-0005-0000-0000-0000083D0000}"/>
    <cellStyle name="SAPBEXHLevel2X 11 7" xfId="27861" xr:uid="{00000000-0005-0000-0000-0000093D0000}"/>
    <cellStyle name="SAPBEXHLevel2X 110" xfId="15413" xr:uid="{00000000-0005-0000-0000-00000A3D0000}"/>
    <cellStyle name="SAPBEXHLevel2X 111" xfId="15414" xr:uid="{00000000-0005-0000-0000-00000B3D0000}"/>
    <cellStyle name="SAPBEXHLevel2X 112" xfId="15415" xr:uid="{00000000-0005-0000-0000-00000C3D0000}"/>
    <cellStyle name="SAPBEXHLevel2X 113" xfId="15416" xr:uid="{00000000-0005-0000-0000-00000D3D0000}"/>
    <cellStyle name="SAPBEXHLevel2X 114" xfId="15417" xr:uid="{00000000-0005-0000-0000-00000E3D0000}"/>
    <cellStyle name="SAPBEXHLevel2X 115" xfId="15418" xr:uid="{00000000-0005-0000-0000-00000F3D0000}"/>
    <cellStyle name="SAPBEXHLevel2X 116" xfId="15419" xr:uid="{00000000-0005-0000-0000-0000103D0000}"/>
    <cellStyle name="SAPBEXHLevel2X 117" xfId="15420" xr:uid="{00000000-0005-0000-0000-0000113D0000}"/>
    <cellStyle name="SAPBEXHLevel2X 118" xfId="15421" xr:uid="{00000000-0005-0000-0000-0000123D0000}"/>
    <cellStyle name="SAPBEXHLevel2X 119" xfId="15422" xr:uid="{00000000-0005-0000-0000-0000133D0000}"/>
    <cellStyle name="SAPBEXHLevel2X 12" xfId="15423" xr:uid="{00000000-0005-0000-0000-0000143D0000}"/>
    <cellStyle name="SAPBEXHLevel2X 12 2" xfId="15424" xr:uid="{00000000-0005-0000-0000-0000153D0000}"/>
    <cellStyle name="SAPBEXHLevel2X 12 3" xfId="15425" xr:uid="{00000000-0005-0000-0000-0000163D0000}"/>
    <cellStyle name="SAPBEXHLevel2X 12 4" xfId="15426" xr:uid="{00000000-0005-0000-0000-0000173D0000}"/>
    <cellStyle name="SAPBEXHLevel2X 12 5" xfId="15427" xr:uid="{00000000-0005-0000-0000-0000183D0000}"/>
    <cellStyle name="SAPBEXHLevel2X 12 6" xfId="15428" xr:uid="{00000000-0005-0000-0000-0000193D0000}"/>
    <cellStyle name="SAPBEXHLevel2X 120" xfId="15429" xr:uid="{00000000-0005-0000-0000-00001A3D0000}"/>
    <cellStyle name="SAPBEXHLevel2X 121" xfId="15430" xr:uid="{00000000-0005-0000-0000-00001B3D0000}"/>
    <cellStyle name="SAPBEXHLevel2X 122" xfId="15431" xr:uid="{00000000-0005-0000-0000-00001C3D0000}"/>
    <cellStyle name="SAPBEXHLevel2X 123" xfId="15432" xr:uid="{00000000-0005-0000-0000-00001D3D0000}"/>
    <cellStyle name="SAPBEXHLevel2X 124" xfId="15433" xr:uid="{00000000-0005-0000-0000-00001E3D0000}"/>
    <cellStyle name="SAPBEXHLevel2X 125" xfId="15434" xr:uid="{00000000-0005-0000-0000-00001F3D0000}"/>
    <cellStyle name="SAPBEXHLevel2X 126" xfId="15435" xr:uid="{00000000-0005-0000-0000-0000203D0000}"/>
    <cellStyle name="SAPBEXHLevel2X 127" xfId="15436" xr:uid="{00000000-0005-0000-0000-0000213D0000}"/>
    <cellStyle name="SAPBEXHLevel2X 128" xfId="15437" xr:uid="{00000000-0005-0000-0000-0000223D0000}"/>
    <cellStyle name="SAPBEXHLevel2X 129" xfId="15438" xr:uid="{00000000-0005-0000-0000-0000233D0000}"/>
    <cellStyle name="SAPBEXHLevel2X 13" xfId="15439" xr:uid="{00000000-0005-0000-0000-0000243D0000}"/>
    <cellStyle name="SAPBEXHLevel2X 13 2" xfId="15440" xr:uid="{00000000-0005-0000-0000-0000253D0000}"/>
    <cellStyle name="SAPBEXHLevel2X 13 3" xfId="15441" xr:uid="{00000000-0005-0000-0000-0000263D0000}"/>
    <cellStyle name="SAPBEXHLevel2X 13 4" xfId="15442" xr:uid="{00000000-0005-0000-0000-0000273D0000}"/>
    <cellStyle name="SAPBEXHLevel2X 13 5" xfId="15443" xr:uid="{00000000-0005-0000-0000-0000283D0000}"/>
    <cellStyle name="SAPBEXHLevel2X 13 6" xfId="15444" xr:uid="{00000000-0005-0000-0000-0000293D0000}"/>
    <cellStyle name="SAPBEXHLevel2X 130" xfId="15445" xr:uid="{00000000-0005-0000-0000-00002A3D0000}"/>
    <cellStyle name="SAPBEXHLevel2X 131" xfId="15446" xr:uid="{00000000-0005-0000-0000-00002B3D0000}"/>
    <cellStyle name="SAPBEXHLevel2X 132" xfId="15447" xr:uid="{00000000-0005-0000-0000-00002C3D0000}"/>
    <cellStyle name="SAPBEXHLevel2X 133" xfId="15448" xr:uid="{00000000-0005-0000-0000-00002D3D0000}"/>
    <cellStyle name="SAPBEXHLevel2X 134" xfId="15449" xr:uid="{00000000-0005-0000-0000-00002E3D0000}"/>
    <cellStyle name="SAPBEXHLevel2X 135" xfId="15450" xr:uid="{00000000-0005-0000-0000-00002F3D0000}"/>
    <cellStyle name="SAPBEXHLevel2X 136" xfId="15451" xr:uid="{00000000-0005-0000-0000-0000303D0000}"/>
    <cellStyle name="SAPBEXHLevel2X 137" xfId="15452" xr:uid="{00000000-0005-0000-0000-0000313D0000}"/>
    <cellStyle name="SAPBEXHLevel2X 138" xfId="15453" xr:uid="{00000000-0005-0000-0000-0000323D0000}"/>
    <cellStyle name="SAPBEXHLevel2X 139" xfId="15454" xr:uid="{00000000-0005-0000-0000-0000333D0000}"/>
    <cellStyle name="SAPBEXHLevel2X 14" xfId="15455" xr:uid="{00000000-0005-0000-0000-0000343D0000}"/>
    <cellStyle name="SAPBEXHLevel2X 14 2" xfId="15456" xr:uid="{00000000-0005-0000-0000-0000353D0000}"/>
    <cellStyle name="SAPBEXHLevel2X 14 3" xfId="15457" xr:uid="{00000000-0005-0000-0000-0000363D0000}"/>
    <cellStyle name="SAPBEXHLevel2X 14 4" xfId="15458" xr:uid="{00000000-0005-0000-0000-0000373D0000}"/>
    <cellStyle name="SAPBEXHLevel2X 14 5" xfId="15459" xr:uid="{00000000-0005-0000-0000-0000383D0000}"/>
    <cellStyle name="SAPBEXHLevel2X 14 6" xfId="15460" xr:uid="{00000000-0005-0000-0000-0000393D0000}"/>
    <cellStyle name="SAPBEXHLevel2X 140" xfId="15461" xr:uid="{00000000-0005-0000-0000-00003A3D0000}"/>
    <cellStyle name="SAPBEXHLevel2X 141" xfId="15462" xr:uid="{00000000-0005-0000-0000-00003B3D0000}"/>
    <cellStyle name="SAPBEXHLevel2X 142" xfId="15463" xr:uid="{00000000-0005-0000-0000-00003C3D0000}"/>
    <cellStyle name="SAPBEXHLevel2X 143" xfId="15464" xr:uid="{00000000-0005-0000-0000-00003D3D0000}"/>
    <cellStyle name="SAPBEXHLevel2X 144" xfId="15465" xr:uid="{00000000-0005-0000-0000-00003E3D0000}"/>
    <cellStyle name="SAPBEXHLevel2X 145" xfId="15466" xr:uid="{00000000-0005-0000-0000-00003F3D0000}"/>
    <cellStyle name="SAPBEXHLevel2X 146" xfId="27810" xr:uid="{00000000-0005-0000-0000-0000403D0000}"/>
    <cellStyle name="SAPBEXHLevel2X 147" xfId="27927" xr:uid="{00000000-0005-0000-0000-0000413D0000}"/>
    <cellStyle name="SAPBEXHLevel2X 148" xfId="28027" xr:uid="{00000000-0005-0000-0000-0000423D0000}"/>
    <cellStyle name="SAPBEXHLevel2X 149" xfId="28086" xr:uid="{00000000-0005-0000-0000-0000433D0000}"/>
    <cellStyle name="SAPBEXHLevel2X 15" xfId="15467" xr:uid="{00000000-0005-0000-0000-0000443D0000}"/>
    <cellStyle name="SAPBEXHLevel2X 15 2" xfId="15468" xr:uid="{00000000-0005-0000-0000-0000453D0000}"/>
    <cellStyle name="SAPBEXHLevel2X 15 3" xfId="15469" xr:uid="{00000000-0005-0000-0000-0000463D0000}"/>
    <cellStyle name="SAPBEXHLevel2X 15 4" xfId="15470" xr:uid="{00000000-0005-0000-0000-0000473D0000}"/>
    <cellStyle name="SAPBEXHLevel2X 15 5" xfId="15471" xr:uid="{00000000-0005-0000-0000-0000483D0000}"/>
    <cellStyle name="SAPBEXHLevel2X 15 6" xfId="15472" xr:uid="{00000000-0005-0000-0000-0000493D0000}"/>
    <cellStyle name="SAPBEXHLevel2X 150" xfId="28160" xr:uid="{00000000-0005-0000-0000-00004A3D0000}"/>
    <cellStyle name="SAPBEXHLevel2X 16" xfId="15473" xr:uid="{00000000-0005-0000-0000-00004B3D0000}"/>
    <cellStyle name="SAPBEXHLevel2X 16 2" xfId="15474" xr:uid="{00000000-0005-0000-0000-00004C3D0000}"/>
    <cellStyle name="SAPBEXHLevel2X 16 3" xfId="15475" xr:uid="{00000000-0005-0000-0000-00004D3D0000}"/>
    <cellStyle name="SAPBEXHLevel2X 16 4" xfId="15476" xr:uid="{00000000-0005-0000-0000-00004E3D0000}"/>
    <cellStyle name="SAPBEXHLevel2X 16 5" xfId="15477" xr:uid="{00000000-0005-0000-0000-00004F3D0000}"/>
    <cellStyle name="SAPBEXHLevel2X 16 6" xfId="15478" xr:uid="{00000000-0005-0000-0000-0000503D0000}"/>
    <cellStyle name="SAPBEXHLevel2X 16 7" xfId="27780" xr:uid="{00000000-0005-0000-0000-0000513D0000}"/>
    <cellStyle name="SAPBEXHLevel2X 17" xfId="15479" xr:uid="{00000000-0005-0000-0000-0000523D0000}"/>
    <cellStyle name="SAPBEXHLevel2X 17 2" xfId="15480" xr:uid="{00000000-0005-0000-0000-0000533D0000}"/>
    <cellStyle name="SAPBEXHLevel2X 17 3" xfId="15481" xr:uid="{00000000-0005-0000-0000-0000543D0000}"/>
    <cellStyle name="SAPBEXHLevel2X 17 4" xfId="15482" xr:uid="{00000000-0005-0000-0000-0000553D0000}"/>
    <cellStyle name="SAPBEXHLevel2X 17 5" xfId="15483" xr:uid="{00000000-0005-0000-0000-0000563D0000}"/>
    <cellStyle name="SAPBEXHLevel2X 17 6" xfId="15484" xr:uid="{00000000-0005-0000-0000-0000573D0000}"/>
    <cellStyle name="SAPBEXHLevel2X 18" xfId="15485" xr:uid="{00000000-0005-0000-0000-0000583D0000}"/>
    <cellStyle name="SAPBEXHLevel2X 18 2" xfId="15486" xr:uid="{00000000-0005-0000-0000-0000593D0000}"/>
    <cellStyle name="SAPBEXHLevel2X 18 3" xfId="15487" xr:uid="{00000000-0005-0000-0000-00005A3D0000}"/>
    <cellStyle name="SAPBEXHLevel2X 18 4" xfId="15488" xr:uid="{00000000-0005-0000-0000-00005B3D0000}"/>
    <cellStyle name="SAPBEXHLevel2X 18 5" xfId="15489" xr:uid="{00000000-0005-0000-0000-00005C3D0000}"/>
    <cellStyle name="SAPBEXHLevel2X 18 6" xfId="15490" xr:uid="{00000000-0005-0000-0000-00005D3D0000}"/>
    <cellStyle name="SAPBEXHLevel2X 19" xfId="15491" xr:uid="{00000000-0005-0000-0000-00005E3D0000}"/>
    <cellStyle name="SAPBEXHLevel2X 19 2" xfId="15492" xr:uid="{00000000-0005-0000-0000-00005F3D0000}"/>
    <cellStyle name="SAPBEXHLevel2X 19 3" xfId="15493" xr:uid="{00000000-0005-0000-0000-0000603D0000}"/>
    <cellStyle name="SAPBEXHLevel2X 19 4" xfId="15494" xr:uid="{00000000-0005-0000-0000-0000613D0000}"/>
    <cellStyle name="SAPBEXHLevel2X 19 5" xfId="15495" xr:uid="{00000000-0005-0000-0000-0000623D0000}"/>
    <cellStyle name="SAPBEXHLevel2X 19 6" xfId="15496" xr:uid="{00000000-0005-0000-0000-0000633D0000}"/>
    <cellStyle name="SAPBEXHLevel2X 2" xfId="15497" xr:uid="{00000000-0005-0000-0000-0000643D0000}"/>
    <cellStyle name="SAPBEXHLevel2X 2 10" xfId="15498" xr:uid="{00000000-0005-0000-0000-0000653D0000}"/>
    <cellStyle name="SAPBEXHLevel2X 2 11" xfId="15499" xr:uid="{00000000-0005-0000-0000-0000663D0000}"/>
    <cellStyle name="SAPBEXHLevel2X 2 2" xfId="15500" xr:uid="{00000000-0005-0000-0000-0000673D0000}"/>
    <cellStyle name="SAPBEXHLevel2X 2 2 2" xfId="15501" xr:uid="{00000000-0005-0000-0000-0000683D0000}"/>
    <cellStyle name="SAPBEXHLevel2X 2 2 3" xfId="15502" xr:uid="{00000000-0005-0000-0000-0000693D0000}"/>
    <cellStyle name="SAPBEXHLevel2X 2 2 4" xfId="15503" xr:uid="{00000000-0005-0000-0000-00006A3D0000}"/>
    <cellStyle name="SAPBEXHLevel2X 2 2 5" xfId="15504" xr:uid="{00000000-0005-0000-0000-00006B3D0000}"/>
    <cellStyle name="SAPBEXHLevel2X 2 2 6" xfId="15505" xr:uid="{00000000-0005-0000-0000-00006C3D0000}"/>
    <cellStyle name="SAPBEXHLevel2X 2 3" xfId="15506" xr:uid="{00000000-0005-0000-0000-00006D3D0000}"/>
    <cellStyle name="SAPBEXHLevel2X 2 3 2" xfId="15507" xr:uid="{00000000-0005-0000-0000-00006E3D0000}"/>
    <cellStyle name="SAPBEXHLevel2X 2 3 3" xfId="15508" xr:uid="{00000000-0005-0000-0000-00006F3D0000}"/>
    <cellStyle name="SAPBEXHLevel2X 2 3 4" xfId="15509" xr:uid="{00000000-0005-0000-0000-0000703D0000}"/>
    <cellStyle name="SAPBEXHLevel2X 2 3 5" xfId="15510" xr:uid="{00000000-0005-0000-0000-0000713D0000}"/>
    <cellStyle name="SAPBEXHLevel2X 2 3 6" xfId="15511" xr:uid="{00000000-0005-0000-0000-0000723D0000}"/>
    <cellStyle name="SAPBEXHLevel2X 2 4" xfId="15512" xr:uid="{00000000-0005-0000-0000-0000733D0000}"/>
    <cellStyle name="SAPBEXHLevel2X 2 4 2" xfId="15513" xr:uid="{00000000-0005-0000-0000-0000743D0000}"/>
    <cellStyle name="SAPBEXHLevel2X 2 4 3" xfId="15514" xr:uid="{00000000-0005-0000-0000-0000753D0000}"/>
    <cellStyle name="SAPBEXHLevel2X 2 4 4" xfId="15515" xr:uid="{00000000-0005-0000-0000-0000763D0000}"/>
    <cellStyle name="SAPBEXHLevel2X 2 4 5" xfId="15516" xr:uid="{00000000-0005-0000-0000-0000773D0000}"/>
    <cellStyle name="SAPBEXHLevel2X 2 4 6" xfId="15517" xr:uid="{00000000-0005-0000-0000-0000783D0000}"/>
    <cellStyle name="SAPBEXHLevel2X 2 5" xfId="15518" xr:uid="{00000000-0005-0000-0000-0000793D0000}"/>
    <cellStyle name="SAPBEXHLevel2X 2 5 2" xfId="15519" xr:uid="{00000000-0005-0000-0000-00007A3D0000}"/>
    <cellStyle name="SAPBEXHLevel2X 2 5 3" xfId="15520" xr:uid="{00000000-0005-0000-0000-00007B3D0000}"/>
    <cellStyle name="SAPBEXHLevel2X 2 5 4" xfId="15521" xr:uid="{00000000-0005-0000-0000-00007C3D0000}"/>
    <cellStyle name="SAPBEXHLevel2X 2 5 5" xfId="15522" xr:uid="{00000000-0005-0000-0000-00007D3D0000}"/>
    <cellStyle name="SAPBEXHLevel2X 2 5 6" xfId="15523" xr:uid="{00000000-0005-0000-0000-00007E3D0000}"/>
    <cellStyle name="SAPBEXHLevel2X 2 6" xfId="15524" xr:uid="{00000000-0005-0000-0000-00007F3D0000}"/>
    <cellStyle name="SAPBEXHLevel2X 2 6 2" xfId="15525" xr:uid="{00000000-0005-0000-0000-0000803D0000}"/>
    <cellStyle name="SAPBEXHLevel2X 2 6 3" xfId="15526" xr:uid="{00000000-0005-0000-0000-0000813D0000}"/>
    <cellStyle name="SAPBEXHLevel2X 2 6 4" xfId="15527" xr:uid="{00000000-0005-0000-0000-0000823D0000}"/>
    <cellStyle name="SAPBEXHLevel2X 2 6 5" xfId="15528" xr:uid="{00000000-0005-0000-0000-0000833D0000}"/>
    <cellStyle name="SAPBEXHLevel2X 2 6 6" xfId="15529" xr:uid="{00000000-0005-0000-0000-0000843D0000}"/>
    <cellStyle name="SAPBEXHLevel2X 2 7" xfId="15530" xr:uid="{00000000-0005-0000-0000-0000853D0000}"/>
    <cellStyle name="SAPBEXHLevel2X 2 8" xfId="15531" xr:uid="{00000000-0005-0000-0000-0000863D0000}"/>
    <cellStyle name="SAPBEXHLevel2X 2 9" xfId="15532" xr:uid="{00000000-0005-0000-0000-0000873D0000}"/>
    <cellStyle name="SAPBEXHLevel2X 20" xfId="15533" xr:uid="{00000000-0005-0000-0000-0000883D0000}"/>
    <cellStyle name="SAPBEXHLevel2X 20 2" xfId="15534" xr:uid="{00000000-0005-0000-0000-0000893D0000}"/>
    <cellStyle name="SAPBEXHLevel2X 20 3" xfId="15535" xr:uid="{00000000-0005-0000-0000-00008A3D0000}"/>
    <cellStyle name="SAPBEXHLevel2X 20 4" xfId="15536" xr:uid="{00000000-0005-0000-0000-00008B3D0000}"/>
    <cellStyle name="SAPBEXHLevel2X 20 5" xfId="15537" xr:uid="{00000000-0005-0000-0000-00008C3D0000}"/>
    <cellStyle name="SAPBEXHLevel2X 20 6" xfId="15538" xr:uid="{00000000-0005-0000-0000-00008D3D0000}"/>
    <cellStyle name="SAPBEXHLevel2X 21" xfId="15539" xr:uid="{00000000-0005-0000-0000-00008E3D0000}"/>
    <cellStyle name="SAPBEXHLevel2X 21 2" xfId="15540" xr:uid="{00000000-0005-0000-0000-00008F3D0000}"/>
    <cellStyle name="SAPBEXHLevel2X 21 3" xfId="15541" xr:uid="{00000000-0005-0000-0000-0000903D0000}"/>
    <cellStyle name="SAPBEXHLevel2X 21 4" xfId="15542" xr:uid="{00000000-0005-0000-0000-0000913D0000}"/>
    <cellStyle name="SAPBEXHLevel2X 21 5" xfId="15543" xr:uid="{00000000-0005-0000-0000-0000923D0000}"/>
    <cellStyle name="SAPBEXHLevel2X 21 6" xfId="15544" xr:uid="{00000000-0005-0000-0000-0000933D0000}"/>
    <cellStyle name="SAPBEXHLevel2X 22" xfId="15545" xr:uid="{00000000-0005-0000-0000-0000943D0000}"/>
    <cellStyle name="SAPBEXHLevel2X 22 2" xfId="15546" xr:uid="{00000000-0005-0000-0000-0000953D0000}"/>
    <cellStyle name="SAPBEXHLevel2X 22 3" xfId="15547" xr:uid="{00000000-0005-0000-0000-0000963D0000}"/>
    <cellStyle name="SAPBEXHLevel2X 22 4" xfId="15548" xr:uid="{00000000-0005-0000-0000-0000973D0000}"/>
    <cellStyle name="SAPBEXHLevel2X 22 5" xfId="15549" xr:uid="{00000000-0005-0000-0000-0000983D0000}"/>
    <cellStyle name="SAPBEXHLevel2X 22 6" xfId="15550" xr:uid="{00000000-0005-0000-0000-0000993D0000}"/>
    <cellStyle name="SAPBEXHLevel2X 23" xfId="15551" xr:uid="{00000000-0005-0000-0000-00009A3D0000}"/>
    <cellStyle name="SAPBEXHLevel2X 23 2" xfId="15552" xr:uid="{00000000-0005-0000-0000-00009B3D0000}"/>
    <cellStyle name="SAPBEXHLevel2X 23 3" xfId="15553" xr:uid="{00000000-0005-0000-0000-00009C3D0000}"/>
    <cellStyle name="SAPBEXHLevel2X 23 4" xfId="15554" xr:uid="{00000000-0005-0000-0000-00009D3D0000}"/>
    <cellStyle name="SAPBEXHLevel2X 23 5" xfId="15555" xr:uid="{00000000-0005-0000-0000-00009E3D0000}"/>
    <cellStyle name="SAPBEXHLevel2X 23 6" xfId="15556" xr:uid="{00000000-0005-0000-0000-00009F3D0000}"/>
    <cellStyle name="SAPBEXHLevel2X 24" xfId="15557" xr:uid="{00000000-0005-0000-0000-0000A03D0000}"/>
    <cellStyle name="SAPBEXHLevel2X 24 2" xfId="15558" xr:uid="{00000000-0005-0000-0000-0000A13D0000}"/>
    <cellStyle name="SAPBEXHLevel2X 24 3" xfId="15559" xr:uid="{00000000-0005-0000-0000-0000A23D0000}"/>
    <cellStyle name="SAPBEXHLevel2X 24 4" xfId="15560" xr:uid="{00000000-0005-0000-0000-0000A33D0000}"/>
    <cellStyle name="SAPBEXHLevel2X 24 5" xfId="15561" xr:uid="{00000000-0005-0000-0000-0000A43D0000}"/>
    <cellStyle name="SAPBEXHLevel2X 24 6" xfId="15562" xr:uid="{00000000-0005-0000-0000-0000A53D0000}"/>
    <cellStyle name="SAPBEXHLevel2X 25" xfId="15563" xr:uid="{00000000-0005-0000-0000-0000A63D0000}"/>
    <cellStyle name="SAPBEXHLevel2X 25 2" xfId="15564" xr:uid="{00000000-0005-0000-0000-0000A73D0000}"/>
    <cellStyle name="SAPBEXHLevel2X 25 3" xfId="15565" xr:uid="{00000000-0005-0000-0000-0000A83D0000}"/>
    <cellStyle name="SAPBEXHLevel2X 25 4" xfId="15566" xr:uid="{00000000-0005-0000-0000-0000A93D0000}"/>
    <cellStyle name="SAPBEXHLevel2X 25 5" xfId="15567" xr:uid="{00000000-0005-0000-0000-0000AA3D0000}"/>
    <cellStyle name="SAPBEXHLevel2X 25 6" xfId="15568" xr:uid="{00000000-0005-0000-0000-0000AB3D0000}"/>
    <cellStyle name="SAPBEXHLevel2X 26" xfId="15569" xr:uid="{00000000-0005-0000-0000-0000AC3D0000}"/>
    <cellStyle name="SAPBEXHLevel2X 26 2" xfId="15570" xr:uid="{00000000-0005-0000-0000-0000AD3D0000}"/>
    <cellStyle name="SAPBEXHLevel2X 26 3" xfId="15571" xr:uid="{00000000-0005-0000-0000-0000AE3D0000}"/>
    <cellStyle name="SAPBEXHLevel2X 26 4" xfId="15572" xr:uid="{00000000-0005-0000-0000-0000AF3D0000}"/>
    <cellStyle name="SAPBEXHLevel2X 26 5" xfId="15573" xr:uid="{00000000-0005-0000-0000-0000B03D0000}"/>
    <cellStyle name="SAPBEXHLevel2X 26 6" xfId="15574" xr:uid="{00000000-0005-0000-0000-0000B13D0000}"/>
    <cellStyle name="SAPBEXHLevel2X 27" xfId="15575" xr:uid="{00000000-0005-0000-0000-0000B23D0000}"/>
    <cellStyle name="SAPBEXHLevel2X 27 2" xfId="15576" xr:uid="{00000000-0005-0000-0000-0000B33D0000}"/>
    <cellStyle name="SAPBEXHLevel2X 27 3" xfId="15577" xr:uid="{00000000-0005-0000-0000-0000B43D0000}"/>
    <cellStyle name="SAPBEXHLevel2X 27 4" xfId="15578" xr:uid="{00000000-0005-0000-0000-0000B53D0000}"/>
    <cellStyle name="SAPBEXHLevel2X 27 5" xfId="15579" xr:uid="{00000000-0005-0000-0000-0000B63D0000}"/>
    <cellStyle name="SAPBEXHLevel2X 27 6" xfId="15580" xr:uid="{00000000-0005-0000-0000-0000B73D0000}"/>
    <cellStyle name="SAPBEXHLevel2X 28" xfId="15581" xr:uid="{00000000-0005-0000-0000-0000B83D0000}"/>
    <cellStyle name="SAPBEXHLevel2X 28 2" xfId="15582" xr:uid="{00000000-0005-0000-0000-0000B93D0000}"/>
    <cellStyle name="SAPBEXHLevel2X 28 3" xfId="15583" xr:uid="{00000000-0005-0000-0000-0000BA3D0000}"/>
    <cellStyle name="SAPBEXHLevel2X 28 4" xfId="15584" xr:uid="{00000000-0005-0000-0000-0000BB3D0000}"/>
    <cellStyle name="SAPBEXHLevel2X 28 5" xfId="15585" xr:uid="{00000000-0005-0000-0000-0000BC3D0000}"/>
    <cellStyle name="SAPBEXHLevel2X 28 6" xfId="15586" xr:uid="{00000000-0005-0000-0000-0000BD3D0000}"/>
    <cellStyle name="SAPBEXHLevel2X 29" xfId="15587" xr:uid="{00000000-0005-0000-0000-0000BE3D0000}"/>
    <cellStyle name="SAPBEXHLevel2X 29 2" xfId="15588" xr:uid="{00000000-0005-0000-0000-0000BF3D0000}"/>
    <cellStyle name="SAPBEXHLevel2X 29 3" xfId="15589" xr:uid="{00000000-0005-0000-0000-0000C03D0000}"/>
    <cellStyle name="SAPBEXHLevel2X 29 4" xfId="15590" xr:uid="{00000000-0005-0000-0000-0000C13D0000}"/>
    <cellStyle name="SAPBEXHLevel2X 29 5" xfId="15591" xr:uid="{00000000-0005-0000-0000-0000C23D0000}"/>
    <cellStyle name="SAPBEXHLevel2X 29 6" xfId="15592" xr:uid="{00000000-0005-0000-0000-0000C33D0000}"/>
    <cellStyle name="SAPBEXHLevel2X 3" xfId="15593" xr:uid="{00000000-0005-0000-0000-0000C43D0000}"/>
    <cellStyle name="SAPBEXHLevel2X 3 10" xfId="15594" xr:uid="{00000000-0005-0000-0000-0000C53D0000}"/>
    <cellStyle name="SAPBEXHLevel2X 3 11" xfId="15595" xr:uid="{00000000-0005-0000-0000-0000C63D0000}"/>
    <cellStyle name="SAPBEXHLevel2X 3 2" xfId="15596" xr:uid="{00000000-0005-0000-0000-0000C73D0000}"/>
    <cellStyle name="SAPBEXHLevel2X 3 2 2" xfId="15597" xr:uid="{00000000-0005-0000-0000-0000C83D0000}"/>
    <cellStyle name="SAPBEXHLevel2X 3 2 3" xfId="15598" xr:uid="{00000000-0005-0000-0000-0000C93D0000}"/>
    <cellStyle name="SAPBEXHLevel2X 3 2 4" xfId="15599" xr:uid="{00000000-0005-0000-0000-0000CA3D0000}"/>
    <cellStyle name="SAPBEXHLevel2X 3 2 5" xfId="15600" xr:uid="{00000000-0005-0000-0000-0000CB3D0000}"/>
    <cellStyle name="SAPBEXHLevel2X 3 2 6" xfId="15601" xr:uid="{00000000-0005-0000-0000-0000CC3D0000}"/>
    <cellStyle name="SAPBEXHLevel2X 3 3" xfId="15602" xr:uid="{00000000-0005-0000-0000-0000CD3D0000}"/>
    <cellStyle name="SAPBEXHLevel2X 3 3 2" xfId="15603" xr:uid="{00000000-0005-0000-0000-0000CE3D0000}"/>
    <cellStyle name="SAPBEXHLevel2X 3 3 3" xfId="15604" xr:uid="{00000000-0005-0000-0000-0000CF3D0000}"/>
    <cellStyle name="SAPBEXHLevel2X 3 3 4" xfId="15605" xr:uid="{00000000-0005-0000-0000-0000D03D0000}"/>
    <cellStyle name="SAPBEXHLevel2X 3 3 5" xfId="15606" xr:uid="{00000000-0005-0000-0000-0000D13D0000}"/>
    <cellStyle name="SAPBEXHLevel2X 3 3 6" xfId="15607" xr:uid="{00000000-0005-0000-0000-0000D23D0000}"/>
    <cellStyle name="SAPBEXHLevel2X 3 4" xfId="15608" xr:uid="{00000000-0005-0000-0000-0000D33D0000}"/>
    <cellStyle name="SAPBEXHLevel2X 3 4 2" xfId="15609" xr:uid="{00000000-0005-0000-0000-0000D43D0000}"/>
    <cellStyle name="SAPBEXHLevel2X 3 4 3" xfId="15610" xr:uid="{00000000-0005-0000-0000-0000D53D0000}"/>
    <cellStyle name="SAPBEXHLevel2X 3 4 4" xfId="15611" xr:uid="{00000000-0005-0000-0000-0000D63D0000}"/>
    <cellStyle name="SAPBEXHLevel2X 3 4 5" xfId="15612" xr:uid="{00000000-0005-0000-0000-0000D73D0000}"/>
    <cellStyle name="SAPBEXHLevel2X 3 4 6" xfId="15613" xr:uid="{00000000-0005-0000-0000-0000D83D0000}"/>
    <cellStyle name="SAPBEXHLevel2X 3 5" xfId="15614" xr:uid="{00000000-0005-0000-0000-0000D93D0000}"/>
    <cellStyle name="SAPBEXHLevel2X 3 5 2" xfId="15615" xr:uid="{00000000-0005-0000-0000-0000DA3D0000}"/>
    <cellStyle name="SAPBEXHLevel2X 3 5 3" xfId="15616" xr:uid="{00000000-0005-0000-0000-0000DB3D0000}"/>
    <cellStyle name="SAPBEXHLevel2X 3 5 4" xfId="15617" xr:uid="{00000000-0005-0000-0000-0000DC3D0000}"/>
    <cellStyle name="SAPBEXHLevel2X 3 5 5" xfId="15618" xr:uid="{00000000-0005-0000-0000-0000DD3D0000}"/>
    <cellStyle name="SAPBEXHLevel2X 3 5 6" xfId="15619" xr:uid="{00000000-0005-0000-0000-0000DE3D0000}"/>
    <cellStyle name="SAPBEXHLevel2X 3 6" xfId="15620" xr:uid="{00000000-0005-0000-0000-0000DF3D0000}"/>
    <cellStyle name="SAPBEXHLevel2X 3 6 2" xfId="15621" xr:uid="{00000000-0005-0000-0000-0000E03D0000}"/>
    <cellStyle name="SAPBEXHLevel2X 3 6 3" xfId="15622" xr:uid="{00000000-0005-0000-0000-0000E13D0000}"/>
    <cellStyle name="SAPBEXHLevel2X 3 6 4" xfId="15623" xr:uid="{00000000-0005-0000-0000-0000E23D0000}"/>
    <cellStyle name="SAPBEXHLevel2X 3 6 5" xfId="15624" xr:uid="{00000000-0005-0000-0000-0000E33D0000}"/>
    <cellStyle name="SAPBEXHLevel2X 3 6 6" xfId="15625" xr:uid="{00000000-0005-0000-0000-0000E43D0000}"/>
    <cellStyle name="SAPBEXHLevel2X 3 7" xfId="15626" xr:uid="{00000000-0005-0000-0000-0000E53D0000}"/>
    <cellStyle name="SAPBEXHLevel2X 3 8" xfId="15627" xr:uid="{00000000-0005-0000-0000-0000E63D0000}"/>
    <cellStyle name="SAPBEXHLevel2X 3 9" xfId="15628" xr:uid="{00000000-0005-0000-0000-0000E73D0000}"/>
    <cellStyle name="SAPBEXHLevel2X 30" xfId="15629" xr:uid="{00000000-0005-0000-0000-0000E83D0000}"/>
    <cellStyle name="SAPBEXHLevel2X 30 2" xfId="15630" xr:uid="{00000000-0005-0000-0000-0000E93D0000}"/>
    <cellStyle name="SAPBEXHLevel2X 30 3" xfId="15631" xr:uid="{00000000-0005-0000-0000-0000EA3D0000}"/>
    <cellStyle name="SAPBEXHLevel2X 30 4" xfId="15632" xr:uid="{00000000-0005-0000-0000-0000EB3D0000}"/>
    <cellStyle name="SAPBEXHLevel2X 30 5" xfId="15633" xr:uid="{00000000-0005-0000-0000-0000EC3D0000}"/>
    <cellStyle name="SAPBEXHLevel2X 30 6" xfId="15634" xr:uid="{00000000-0005-0000-0000-0000ED3D0000}"/>
    <cellStyle name="SAPBEXHLevel2X 31" xfId="15635" xr:uid="{00000000-0005-0000-0000-0000EE3D0000}"/>
    <cellStyle name="SAPBEXHLevel2X 31 2" xfId="15636" xr:uid="{00000000-0005-0000-0000-0000EF3D0000}"/>
    <cellStyle name="SAPBEXHLevel2X 31 3" xfId="15637" xr:uid="{00000000-0005-0000-0000-0000F03D0000}"/>
    <cellStyle name="SAPBEXHLevel2X 31 4" xfId="15638" xr:uid="{00000000-0005-0000-0000-0000F13D0000}"/>
    <cellStyle name="SAPBEXHLevel2X 31 5" xfId="15639" xr:uid="{00000000-0005-0000-0000-0000F23D0000}"/>
    <cellStyle name="SAPBEXHLevel2X 31 6" xfId="15640" xr:uid="{00000000-0005-0000-0000-0000F33D0000}"/>
    <cellStyle name="SAPBEXHLevel2X 32" xfId="15641" xr:uid="{00000000-0005-0000-0000-0000F43D0000}"/>
    <cellStyle name="SAPBEXHLevel2X 32 2" xfId="15642" xr:uid="{00000000-0005-0000-0000-0000F53D0000}"/>
    <cellStyle name="SAPBEXHLevel2X 32 3" xfId="15643" xr:uid="{00000000-0005-0000-0000-0000F63D0000}"/>
    <cellStyle name="SAPBEXHLevel2X 32 4" xfId="15644" xr:uid="{00000000-0005-0000-0000-0000F73D0000}"/>
    <cellStyle name="SAPBEXHLevel2X 32 5" xfId="15645" xr:uid="{00000000-0005-0000-0000-0000F83D0000}"/>
    <cellStyle name="SAPBEXHLevel2X 32 6" xfId="15646" xr:uid="{00000000-0005-0000-0000-0000F93D0000}"/>
    <cellStyle name="SAPBEXHLevel2X 33" xfId="15647" xr:uid="{00000000-0005-0000-0000-0000FA3D0000}"/>
    <cellStyle name="SAPBEXHLevel2X 34" xfId="15648" xr:uid="{00000000-0005-0000-0000-0000FB3D0000}"/>
    <cellStyle name="SAPBEXHLevel2X 35" xfId="15649" xr:uid="{00000000-0005-0000-0000-0000FC3D0000}"/>
    <cellStyle name="SAPBEXHLevel2X 36" xfId="15650" xr:uid="{00000000-0005-0000-0000-0000FD3D0000}"/>
    <cellStyle name="SAPBEXHLevel2X 37" xfId="15651" xr:uid="{00000000-0005-0000-0000-0000FE3D0000}"/>
    <cellStyle name="SAPBEXHLevel2X 38" xfId="15652" xr:uid="{00000000-0005-0000-0000-0000FF3D0000}"/>
    <cellStyle name="SAPBEXHLevel2X 39" xfId="15653" xr:uid="{00000000-0005-0000-0000-0000003E0000}"/>
    <cellStyle name="SAPBEXHLevel2X 4" xfId="15654" xr:uid="{00000000-0005-0000-0000-0000013E0000}"/>
    <cellStyle name="SAPBEXHLevel2X 4 10" xfId="15655" xr:uid="{00000000-0005-0000-0000-0000023E0000}"/>
    <cellStyle name="SAPBEXHLevel2X 4 10 2" xfId="15656" xr:uid="{00000000-0005-0000-0000-0000033E0000}"/>
    <cellStyle name="SAPBEXHLevel2X 4 10 3" xfId="15657" xr:uid="{00000000-0005-0000-0000-0000043E0000}"/>
    <cellStyle name="SAPBEXHLevel2X 4 10 4" xfId="15658" xr:uid="{00000000-0005-0000-0000-0000053E0000}"/>
    <cellStyle name="SAPBEXHLevel2X 4 11" xfId="15659" xr:uid="{00000000-0005-0000-0000-0000063E0000}"/>
    <cellStyle name="SAPBEXHLevel2X 4 11 2" xfId="15660" xr:uid="{00000000-0005-0000-0000-0000073E0000}"/>
    <cellStyle name="SAPBEXHLevel2X 4 11 3" xfId="15661" xr:uid="{00000000-0005-0000-0000-0000083E0000}"/>
    <cellStyle name="SAPBEXHLevel2X 4 11 4" xfId="15662" xr:uid="{00000000-0005-0000-0000-0000093E0000}"/>
    <cellStyle name="SAPBEXHLevel2X 4 12" xfId="15663" xr:uid="{00000000-0005-0000-0000-00000A3E0000}"/>
    <cellStyle name="SAPBEXHLevel2X 4 12 2" xfId="15664" xr:uid="{00000000-0005-0000-0000-00000B3E0000}"/>
    <cellStyle name="SAPBEXHLevel2X 4 12 3" xfId="15665" xr:uid="{00000000-0005-0000-0000-00000C3E0000}"/>
    <cellStyle name="SAPBEXHLevel2X 4 12 4" xfId="15666" xr:uid="{00000000-0005-0000-0000-00000D3E0000}"/>
    <cellStyle name="SAPBEXHLevel2X 4 13" xfId="15667" xr:uid="{00000000-0005-0000-0000-00000E3E0000}"/>
    <cellStyle name="SAPBEXHLevel2X 4 13 2" xfId="15668" xr:uid="{00000000-0005-0000-0000-00000F3E0000}"/>
    <cellStyle name="SAPBEXHLevel2X 4 13 3" xfId="15669" xr:uid="{00000000-0005-0000-0000-0000103E0000}"/>
    <cellStyle name="SAPBEXHLevel2X 4 13 4" xfId="15670" xr:uid="{00000000-0005-0000-0000-0000113E0000}"/>
    <cellStyle name="SAPBEXHLevel2X 4 14" xfId="15671" xr:uid="{00000000-0005-0000-0000-0000123E0000}"/>
    <cellStyle name="SAPBEXHLevel2X 4 15" xfId="15672" xr:uid="{00000000-0005-0000-0000-0000133E0000}"/>
    <cellStyle name="SAPBEXHLevel2X 4 16" xfId="15673" xr:uid="{00000000-0005-0000-0000-0000143E0000}"/>
    <cellStyle name="SAPBEXHLevel2X 4 17" xfId="15674" xr:uid="{00000000-0005-0000-0000-0000153E0000}"/>
    <cellStyle name="SAPBEXHLevel2X 4 18" xfId="15675" xr:uid="{00000000-0005-0000-0000-0000163E0000}"/>
    <cellStyle name="SAPBEXHLevel2X 4 2" xfId="15676" xr:uid="{00000000-0005-0000-0000-0000173E0000}"/>
    <cellStyle name="SAPBEXHLevel2X 4 2 2" xfId="15677" xr:uid="{00000000-0005-0000-0000-0000183E0000}"/>
    <cellStyle name="SAPBEXHLevel2X 4 2 2 2" xfId="15678" xr:uid="{00000000-0005-0000-0000-0000193E0000}"/>
    <cellStyle name="SAPBEXHLevel2X 4 2 2 3" xfId="15679" xr:uid="{00000000-0005-0000-0000-00001A3E0000}"/>
    <cellStyle name="SAPBEXHLevel2X 4 2 2 4" xfId="15680" xr:uid="{00000000-0005-0000-0000-00001B3E0000}"/>
    <cellStyle name="SAPBEXHLevel2X 4 2 2 5" xfId="15681" xr:uid="{00000000-0005-0000-0000-00001C3E0000}"/>
    <cellStyle name="SAPBEXHLevel2X 4 2 2 6" xfId="15682" xr:uid="{00000000-0005-0000-0000-00001D3E0000}"/>
    <cellStyle name="SAPBEXHLevel2X 4 2 3" xfId="15683" xr:uid="{00000000-0005-0000-0000-00001E3E0000}"/>
    <cellStyle name="SAPBEXHLevel2X 4 2 3 2" xfId="15684" xr:uid="{00000000-0005-0000-0000-00001F3E0000}"/>
    <cellStyle name="SAPBEXHLevel2X 4 2 3 3" xfId="15685" xr:uid="{00000000-0005-0000-0000-0000203E0000}"/>
    <cellStyle name="SAPBEXHLevel2X 4 2 3 4" xfId="15686" xr:uid="{00000000-0005-0000-0000-0000213E0000}"/>
    <cellStyle name="SAPBEXHLevel2X 4 2 3 5" xfId="15687" xr:uid="{00000000-0005-0000-0000-0000223E0000}"/>
    <cellStyle name="SAPBEXHLevel2X 4 2 3 6" xfId="15688" xr:uid="{00000000-0005-0000-0000-0000233E0000}"/>
    <cellStyle name="SAPBEXHLevel2X 4 2 4" xfId="15689" xr:uid="{00000000-0005-0000-0000-0000243E0000}"/>
    <cellStyle name="SAPBEXHLevel2X 4 2 4 2" xfId="15690" xr:uid="{00000000-0005-0000-0000-0000253E0000}"/>
    <cellStyle name="SAPBEXHLevel2X 4 2 4 3" xfId="15691" xr:uid="{00000000-0005-0000-0000-0000263E0000}"/>
    <cellStyle name="SAPBEXHLevel2X 4 2 4 4" xfId="15692" xr:uid="{00000000-0005-0000-0000-0000273E0000}"/>
    <cellStyle name="SAPBEXHLevel2X 4 2 4 5" xfId="15693" xr:uid="{00000000-0005-0000-0000-0000283E0000}"/>
    <cellStyle name="SAPBEXHLevel2X 4 2 4 6" xfId="15694" xr:uid="{00000000-0005-0000-0000-0000293E0000}"/>
    <cellStyle name="SAPBEXHLevel2X 4 2 5" xfId="15695" xr:uid="{00000000-0005-0000-0000-00002A3E0000}"/>
    <cellStyle name="SAPBEXHLevel2X 4 2 5 2" xfId="15696" xr:uid="{00000000-0005-0000-0000-00002B3E0000}"/>
    <cellStyle name="SAPBEXHLevel2X 4 2 5 3" xfId="15697" xr:uid="{00000000-0005-0000-0000-00002C3E0000}"/>
    <cellStyle name="SAPBEXHLevel2X 4 2 5 4" xfId="15698" xr:uid="{00000000-0005-0000-0000-00002D3E0000}"/>
    <cellStyle name="SAPBEXHLevel2X 4 2 5 5" xfId="15699" xr:uid="{00000000-0005-0000-0000-00002E3E0000}"/>
    <cellStyle name="SAPBEXHLevel2X 4 2 5 6" xfId="15700" xr:uid="{00000000-0005-0000-0000-00002F3E0000}"/>
    <cellStyle name="SAPBEXHLevel2X 4 2 6" xfId="15701" xr:uid="{00000000-0005-0000-0000-0000303E0000}"/>
    <cellStyle name="SAPBEXHLevel2X 4 2 7" xfId="15702" xr:uid="{00000000-0005-0000-0000-0000313E0000}"/>
    <cellStyle name="SAPBEXHLevel2X 4 2 8" xfId="15703" xr:uid="{00000000-0005-0000-0000-0000323E0000}"/>
    <cellStyle name="SAPBEXHLevel2X 4 3" xfId="15704" xr:uid="{00000000-0005-0000-0000-0000333E0000}"/>
    <cellStyle name="SAPBEXHLevel2X 4 3 2" xfId="15705" xr:uid="{00000000-0005-0000-0000-0000343E0000}"/>
    <cellStyle name="SAPBEXHLevel2X 4 3 2 2" xfId="15706" xr:uid="{00000000-0005-0000-0000-0000353E0000}"/>
    <cellStyle name="SAPBEXHLevel2X 4 3 2 3" xfId="15707" xr:uid="{00000000-0005-0000-0000-0000363E0000}"/>
    <cellStyle name="SAPBEXHLevel2X 4 3 2 4" xfId="15708" xr:uid="{00000000-0005-0000-0000-0000373E0000}"/>
    <cellStyle name="SAPBEXHLevel2X 4 3 2 5" xfId="15709" xr:uid="{00000000-0005-0000-0000-0000383E0000}"/>
    <cellStyle name="SAPBEXHLevel2X 4 3 2 6" xfId="15710" xr:uid="{00000000-0005-0000-0000-0000393E0000}"/>
    <cellStyle name="SAPBEXHLevel2X 4 3 3" xfId="15711" xr:uid="{00000000-0005-0000-0000-00003A3E0000}"/>
    <cellStyle name="SAPBEXHLevel2X 4 3 3 2" xfId="15712" xr:uid="{00000000-0005-0000-0000-00003B3E0000}"/>
    <cellStyle name="SAPBEXHLevel2X 4 3 3 3" xfId="15713" xr:uid="{00000000-0005-0000-0000-00003C3E0000}"/>
    <cellStyle name="SAPBEXHLevel2X 4 3 3 4" xfId="15714" xr:uid="{00000000-0005-0000-0000-00003D3E0000}"/>
    <cellStyle name="SAPBEXHLevel2X 4 3 3 5" xfId="15715" xr:uid="{00000000-0005-0000-0000-00003E3E0000}"/>
    <cellStyle name="SAPBEXHLevel2X 4 3 3 6" xfId="15716" xr:uid="{00000000-0005-0000-0000-00003F3E0000}"/>
    <cellStyle name="SAPBEXHLevel2X 4 3 4" xfId="15717" xr:uid="{00000000-0005-0000-0000-0000403E0000}"/>
    <cellStyle name="SAPBEXHLevel2X 4 3 4 2" xfId="15718" xr:uid="{00000000-0005-0000-0000-0000413E0000}"/>
    <cellStyle name="SAPBEXHLevel2X 4 3 4 3" xfId="15719" xr:uid="{00000000-0005-0000-0000-0000423E0000}"/>
    <cellStyle name="SAPBEXHLevel2X 4 3 4 4" xfId="15720" xr:uid="{00000000-0005-0000-0000-0000433E0000}"/>
    <cellStyle name="SAPBEXHLevel2X 4 3 4 5" xfId="15721" xr:uid="{00000000-0005-0000-0000-0000443E0000}"/>
    <cellStyle name="SAPBEXHLevel2X 4 3 4 6" xfId="15722" xr:uid="{00000000-0005-0000-0000-0000453E0000}"/>
    <cellStyle name="SAPBEXHLevel2X 4 3 5" xfId="15723" xr:uid="{00000000-0005-0000-0000-0000463E0000}"/>
    <cellStyle name="SAPBEXHLevel2X 4 3 5 2" xfId="15724" xr:uid="{00000000-0005-0000-0000-0000473E0000}"/>
    <cellStyle name="SAPBEXHLevel2X 4 3 5 3" xfId="15725" xr:uid="{00000000-0005-0000-0000-0000483E0000}"/>
    <cellStyle name="SAPBEXHLevel2X 4 3 5 4" xfId="15726" xr:uid="{00000000-0005-0000-0000-0000493E0000}"/>
    <cellStyle name="SAPBEXHLevel2X 4 3 5 5" xfId="15727" xr:uid="{00000000-0005-0000-0000-00004A3E0000}"/>
    <cellStyle name="SAPBEXHLevel2X 4 3 5 6" xfId="15728" xr:uid="{00000000-0005-0000-0000-00004B3E0000}"/>
    <cellStyle name="SAPBEXHLevel2X 4 3 6" xfId="15729" xr:uid="{00000000-0005-0000-0000-00004C3E0000}"/>
    <cellStyle name="SAPBEXHLevel2X 4 3 7" xfId="15730" xr:uid="{00000000-0005-0000-0000-00004D3E0000}"/>
    <cellStyle name="SAPBEXHLevel2X 4 3 8" xfId="15731" xr:uid="{00000000-0005-0000-0000-00004E3E0000}"/>
    <cellStyle name="SAPBEXHLevel2X 4 4" xfId="15732" xr:uid="{00000000-0005-0000-0000-00004F3E0000}"/>
    <cellStyle name="SAPBEXHLevel2X 4 4 2" xfId="15733" xr:uid="{00000000-0005-0000-0000-0000503E0000}"/>
    <cellStyle name="SAPBEXHLevel2X 4 4 2 2" xfId="15734" xr:uid="{00000000-0005-0000-0000-0000513E0000}"/>
    <cellStyle name="SAPBEXHLevel2X 4 4 2 3" xfId="15735" xr:uid="{00000000-0005-0000-0000-0000523E0000}"/>
    <cellStyle name="SAPBEXHLevel2X 4 4 2 4" xfId="15736" xr:uid="{00000000-0005-0000-0000-0000533E0000}"/>
    <cellStyle name="SAPBEXHLevel2X 4 4 2 5" xfId="15737" xr:uid="{00000000-0005-0000-0000-0000543E0000}"/>
    <cellStyle name="SAPBEXHLevel2X 4 4 2 6" xfId="15738" xr:uid="{00000000-0005-0000-0000-0000553E0000}"/>
    <cellStyle name="SAPBEXHLevel2X 4 4 3" xfId="15739" xr:uid="{00000000-0005-0000-0000-0000563E0000}"/>
    <cellStyle name="SAPBEXHLevel2X 4 4 3 2" xfId="15740" xr:uid="{00000000-0005-0000-0000-0000573E0000}"/>
    <cellStyle name="SAPBEXHLevel2X 4 4 3 3" xfId="15741" xr:uid="{00000000-0005-0000-0000-0000583E0000}"/>
    <cellStyle name="SAPBEXHLevel2X 4 4 3 4" xfId="15742" xr:uid="{00000000-0005-0000-0000-0000593E0000}"/>
    <cellStyle name="SAPBEXHLevel2X 4 4 3 5" xfId="15743" xr:uid="{00000000-0005-0000-0000-00005A3E0000}"/>
    <cellStyle name="SAPBEXHLevel2X 4 4 3 6" xfId="15744" xr:uid="{00000000-0005-0000-0000-00005B3E0000}"/>
    <cellStyle name="SAPBEXHLevel2X 4 4 4" xfId="15745" xr:uid="{00000000-0005-0000-0000-00005C3E0000}"/>
    <cellStyle name="SAPBEXHLevel2X 4 4 4 2" xfId="15746" xr:uid="{00000000-0005-0000-0000-00005D3E0000}"/>
    <cellStyle name="SAPBEXHLevel2X 4 4 4 3" xfId="15747" xr:uid="{00000000-0005-0000-0000-00005E3E0000}"/>
    <cellStyle name="SAPBEXHLevel2X 4 4 4 4" xfId="15748" xr:uid="{00000000-0005-0000-0000-00005F3E0000}"/>
    <cellStyle name="SAPBEXHLevel2X 4 4 4 5" xfId="15749" xr:uid="{00000000-0005-0000-0000-0000603E0000}"/>
    <cellStyle name="SAPBEXHLevel2X 4 4 4 6" xfId="15750" xr:uid="{00000000-0005-0000-0000-0000613E0000}"/>
    <cellStyle name="SAPBEXHLevel2X 4 4 5" xfId="15751" xr:uid="{00000000-0005-0000-0000-0000623E0000}"/>
    <cellStyle name="SAPBEXHLevel2X 4 4 5 2" xfId="15752" xr:uid="{00000000-0005-0000-0000-0000633E0000}"/>
    <cellStyle name="SAPBEXHLevel2X 4 4 5 3" xfId="15753" xr:uid="{00000000-0005-0000-0000-0000643E0000}"/>
    <cellStyle name="SAPBEXHLevel2X 4 4 5 4" xfId="15754" xr:uid="{00000000-0005-0000-0000-0000653E0000}"/>
    <cellStyle name="SAPBEXHLevel2X 4 4 5 5" xfId="15755" xr:uid="{00000000-0005-0000-0000-0000663E0000}"/>
    <cellStyle name="SAPBEXHLevel2X 4 4 5 6" xfId="15756" xr:uid="{00000000-0005-0000-0000-0000673E0000}"/>
    <cellStyle name="SAPBEXHLevel2X 4 4 6" xfId="15757" xr:uid="{00000000-0005-0000-0000-0000683E0000}"/>
    <cellStyle name="SAPBEXHLevel2X 4 4 7" xfId="15758" xr:uid="{00000000-0005-0000-0000-0000693E0000}"/>
    <cellStyle name="SAPBEXHLevel2X 4 4 8" xfId="15759" xr:uid="{00000000-0005-0000-0000-00006A3E0000}"/>
    <cellStyle name="SAPBEXHLevel2X 4 5" xfId="15760" xr:uid="{00000000-0005-0000-0000-00006B3E0000}"/>
    <cellStyle name="SAPBEXHLevel2X 4 5 2" xfId="15761" xr:uid="{00000000-0005-0000-0000-00006C3E0000}"/>
    <cellStyle name="SAPBEXHLevel2X 4 5 3" xfId="15762" xr:uid="{00000000-0005-0000-0000-00006D3E0000}"/>
    <cellStyle name="SAPBEXHLevel2X 4 5 4" xfId="15763" xr:uid="{00000000-0005-0000-0000-00006E3E0000}"/>
    <cellStyle name="SAPBEXHLevel2X 4 6" xfId="15764" xr:uid="{00000000-0005-0000-0000-00006F3E0000}"/>
    <cellStyle name="SAPBEXHLevel2X 4 6 2" xfId="15765" xr:uid="{00000000-0005-0000-0000-0000703E0000}"/>
    <cellStyle name="SAPBEXHLevel2X 4 6 3" xfId="15766" xr:uid="{00000000-0005-0000-0000-0000713E0000}"/>
    <cellStyle name="SAPBEXHLevel2X 4 6 4" xfId="15767" xr:uid="{00000000-0005-0000-0000-0000723E0000}"/>
    <cellStyle name="SAPBEXHLevel2X 4 7" xfId="15768" xr:uid="{00000000-0005-0000-0000-0000733E0000}"/>
    <cellStyle name="SAPBEXHLevel2X 4 7 2" xfId="15769" xr:uid="{00000000-0005-0000-0000-0000743E0000}"/>
    <cellStyle name="SAPBEXHLevel2X 4 7 3" xfId="15770" xr:uid="{00000000-0005-0000-0000-0000753E0000}"/>
    <cellStyle name="SAPBEXHLevel2X 4 7 4" xfId="15771" xr:uid="{00000000-0005-0000-0000-0000763E0000}"/>
    <cellStyle name="SAPBEXHLevel2X 4 8" xfId="15772" xr:uid="{00000000-0005-0000-0000-0000773E0000}"/>
    <cellStyle name="SAPBEXHLevel2X 4 8 2" xfId="15773" xr:uid="{00000000-0005-0000-0000-0000783E0000}"/>
    <cellStyle name="SAPBEXHLevel2X 4 8 3" xfId="15774" xr:uid="{00000000-0005-0000-0000-0000793E0000}"/>
    <cellStyle name="SAPBEXHLevel2X 4 8 4" xfId="15775" xr:uid="{00000000-0005-0000-0000-00007A3E0000}"/>
    <cellStyle name="SAPBEXHLevel2X 4 9" xfId="15776" xr:uid="{00000000-0005-0000-0000-00007B3E0000}"/>
    <cellStyle name="SAPBEXHLevel2X 4 9 2" xfId="15777" xr:uid="{00000000-0005-0000-0000-00007C3E0000}"/>
    <cellStyle name="SAPBEXHLevel2X 4 9 3" xfId="15778" xr:uid="{00000000-0005-0000-0000-00007D3E0000}"/>
    <cellStyle name="SAPBEXHLevel2X 4 9 4" xfId="15779" xr:uid="{00000000-0005-0000-0000-00007E3E0000}"/>
    <cellStyle name="SAPBEXHLevel2X 40" xfId="15780" xr:uid="{00000000-0005-0000-0000-00007F3E0000}"/>
    <cellStyle name="SAPBEXHLevel2X 41" xfId="15781" xr:uid="{00000000-0005-0000-0000-0000803E0000}"/>
    <cellStyle name="SAPBEXHLevel2X 42" xfId="15782" xr:uid="{00000000-0005-0000-0000-0000813E0000}"/>
    <cellStyle name="SAPBEXHLevel2X 43" xfId="15783" xr:uid="{00000000-0005-0000-0000-0000823E0000}"/>
    <cellStyle name="SAPBEXHLevel2X 44" xfId="15784" xr:uid="{00000000-0005-0000-0000-0000833E0000}"/>
    <cellStyle name="SAPBEXHLevel2X 45" xfId="15785" xr:uid="{00000000-0005-0000-0000-0000843E0000}"/>
    <cellStyle name="SAPBEXHLevel2X 46" xfId="15786" xr:uid="{00000000-0005-0000-0000-0000853E0000}"/>
    <cellStyle name="SAPBEXHLevel2X 47" xfId="15787" xr:uid="{00000000-0005-0000-0000-0000863E0000}"/>
    <cellStyle name="SAPBEXHLevel2X 48" xfId="15788" xr:uid="{00000000-0005-0000-0000-0000873E0000}"/>
    <cellStyle name="SAPBEXHLevel2X 49" xfId="15789" xr:uid="{00000000-0005-0000-0000-0000883E0000}"/>
    <cellStyle name="SAPBEXHLevel2X 5" xfId="15790" xr:uid="{00000000-0005-0000-0000-0000893E0000}"/>
    <cellStyle name="SAPBEXHLevel2X 5 10" xfId="15791" xr:uid="{00000000-0005-0000-0000-00008A3E0000}"/>
    <cellStyle name="SAPBEXHLevel2X 5 11" xfId="15792" xr:uid="{00000000-0005-0000-0000-00008B3E0000}"/>
    <cellStyle name="SAPBEXHLevel2X 5 12" xfId="15793" xr:uid="{00000000-0005-0000-0000-00008C3E0000}"/>
    <cellStyle name="SAPBEXHLevel2X 5 2" xfId="15794" xr:uid="{00000000-0005-0000-0000-00008D3E0000}"/>
    <cellStyle name="SAPBEXHLevel2X 5 2 2" xfId="15795" xr:uid="{00000000-0005-0000-0000-00008E3E0000}"/>
    <cellStyle name="SAPBEXHLevel2X 5 2 2 2" xfId="15796" xr:uid="{00000000-0005-0000-0000-00008F3E0000}"/>
    <cellStyle name="SAPBEXHLevel2X 5 2 2 3" xfId="15797" xr:uid="{00000000-0005-0000-0000-0000903E0000}"/>
    <cellStyle name="SAPBEXHLevel2X 5 2 2 4" xfId="15798" xr:uid="{00000000-0005-0000-0000-0000913E0000}"/>
    <cellStyle name="SAPBEXHLevel2X 5 2 2 5" xfId="15799" xr:uid="{00000000-0005-0000-0000-0000923E0000}"/>
    <cellStyle name="SAPBEXHLevel2X 5 2 2 6" xfId="15800" xr:uid="{00000000-0005-0000-0000-0000933E0000}"/>
    <cellStyle name="SAPBEXHLevel2X 5 2 3" xfId="15801" xr:uid="{00000000-0005-0000-0000-0000943E0000}"/>
    <cellStyle name="SAPBEXHLevel2X 5 2 3 2" xfId="15802" xr:uid="{00000000-0005-0000-0000-0000953E0000}"/>
    <cellStyle name="SAPBEXHLevel2X 5 2 3 3" xfId="15803" xr:uid="{00000000-0005-0000-0000-0000963E0000}"/>
    <cellStyle name="SAPBEXHLevel2X 5 2 3 4" xfId="15804" xr:uid="{00000000-0005-0000-0000-0000973E0000}"/>
    <cellStyle name="SAPBEXHLevel2X 5 2 3 5" xfId="15805" xr:uid="{00000000-0005-0000-0000-0000983E0000}"/>
    <cellStyle name="SAPBEXHLevel2X 5 2 3 6" xfId="15806" xr:uid="{00000000-0005-0000-0000-0000993E0000}"/>
    <cellStyle name="SAPBEXHLevel2X 5 2 4" xfId="15807" xr:uid="{00000000-0005-0000-0000-00009A3E0000}"/>
    <cellStyle name="SAPBEXHLevel2X 5 2 4 2" xfId="15808" xr:uid="{00000000-0005-0000-0000-00009B3E0000}"/>
    <cellStyle name="SAPBEXHLevel2X 5 2 4 3" xfId="15809" xr:uid="{00000000-0005-0000-0000-00009C3E0000}"/>
    <cellStyle name="SAPBEXHLevel2X 5 2 4 4" xfId="15810" xr:uid="{00000000-0005-0000-0000-00009D3E0000}"/>
    <cellStyle name="SAPBEXHLevel2X 5 2 4 5" xfId="15811" xr:uid="{00000000-0005-0000-0000-00009E3E0000}"/>
    <cellStyle name="SAPBEXHLevel2X 5 2 4 6" xfId="15812" xr:uid="{00000000-0005-0000-0000-00009F3E0000}"/>
    <cellStyle name="SAPBEXHLevel2X 5 2 5" xfId="15813" xr:uid="{00000000-0005-0000-0000-0000A03E0000}"/>
    <cellStyle name="SAPBEXHLevel2X 5 2 5 2" xfId="15814" xr:uid="{00000000-0005-0000-0000-0000A13E0000}"/>
    <cellStyle name="SAPBEXHLevel2X 5 2 5 3" xfId="15815" xr:uid="{00000000-0005-0000-0000-0000A23E0000}"/>
    <cellStyle name="SAPBEXHLevel2X 5 2 5 4" xfId="15816" xr:uid="{00000000-0005-0000-0000-0000A33E0000}"/>
    <cellStyle name="SAPBEXHLevel2X 5 2 5 5" xfId="15817" xr:uid="{00000000-0005-0000-0000-0000A43E0000}"/>
    <cellStyle name="SAPBEXHLevel2X 5 2 5 6" xfId="15818" xr:uid="{00000000-0005-0000-0000-0000A53E0000}"/>
    <cellStyle name="SAPBEXHLevel2X 5 2 6" xfId="15819" xr:uid="{00000000-0005-0000-0000-0000A63E0000}"/>
    <cellStyle name="SAPBEXHLevel2X 5 2 7" xfId="15820" xr:uid="{00000000-0005-0000-0000-0000A73E0000}"/>
    <cellStyle name="SAPBEXHLevel2X 5 2 8" xfId="15821" xr:uid="{00000000-0005-0000-0000-0000A83E0000}"/>
    <cellStyle name="SAPBEXHLevel2X 5 3" xfId="15822" xr:uid="{00000000-0005-0000-0000-0000A93E0000}"/>
    <cellStyle name="SAPBEXHLevel2X 5 3 2" xfId="15823" xr:uid="{00000000-0005-0000-0000-0000AA3E0000}"/>
    <cellStyle name="SAPBEXHLevel2X 5 3 3" xfId="15824" xr:uid="{00000000-0005-0000-0000-0000AB3E0000}"/>
    <cellStyle name="SAPBEXHLevel2X 5 3 4" xfId="15825" xr:uid="{00000000-0005-0000-0000-0000AC3E0000}"/>
    <cellStyle name="SAPBEXHLevel2X 5 3 5" xfId="15826" xr:uid="{00000000-0005-0000-0000-0000AD3E0000}"/>
    <cellStyle name="SAPBEXHLevel2X 5 3 6" xfId="15827" xr:uid="{00000000-0005-0000-0000-0000AE3E0000}"/>
    <cellStyle name="SAPBEXHLevel2X 5 4" xfId="15828" xr:uid="{00000000-0005-0000-0000-0000AF3E0000}"/>
    <cellStyle name="SAPBEXHLevel2X 5 4 2" xfId="15829" xr:uid="{00000000-0005-0000-0000-0000B03E0000}"/>
    <cellStyle name="SAPBEXHLevel2X 5 4 3" xfId="15830" xr:uid="{00000000-0005-0000-0000-0000B13E0000}"/>
    <cellStyle name="SAPBEXHLevel2X 5 4 4" xfId="15831" xr:uid="{00000000-0005-0000-0000-0000B23E0000}"/>
    <cellStyle name="SAPBEXHLevel2X 5 4 5" xfId="15832" xr:uid="{00000000-0005-0000-0000-0000B33E0000}"/>
    <cellStyle name="SAPBEXHLevel2X 5 4 6" xfId="15833" xr:uid="{00000000-0005-0000-0000-0000B43E0000}"/>
    <cellStyle name="SAPBEXHLevel2X 5 5" xfId="15834" xr:uid="{00000000-0005-0000-0000-0000B53E0000}"/>
    <cellStyle name="SAPBEXHLevel2X 5 5 2" xfId="15835" xr:uid="{00000000-0005-0000-0000-0000B63E0000}"/>
    <cellStyle name="SAPBEXHLevel2X 5 5 3" xfId="15836" xr:uid="{00000000-0005-0000-0000-0000B73E0000}"/>
    <cellStyle name="SAPBEXHLevel2X 5 5 4" xfId="15837" xr:uid="{00000000-0005-0000-0000-0000B83E0000}"/>
    <cellStyle name="SAPBEXHLevel2X 5 6" xfId="15838" xr:uid="{00000000-0005-0000-0000-0000B93E0000}"/>
    <cellStyle name="SAPBEXHLevel2X 5 6 2" xfId="15839" xr:uid="{00000000-0005-0000-0000-0000BA3E0000}"/>
    <cellStyle name="SAPBEXHLevel2X 5 6 3" xfId="15840" xr:uid="{00000000-0005-0000-0000-0000BB3E0000}"/>
    <cellStyle name="SAPBEXHLevel2X 5 6 4" xfId="15841" xr:uid="{00000000-0005-0000-0000-0000BC3E0000}"/>
    <cellStyle name="SAPBEXHLevel2X 5 7" xfId="15842" xr:uid="{00000000-0005-0000-0000-0000BD3E0000}"/>
    <cellStyle name="SAPBEXHLevel2X 5 7 2" xfId="15843" xr:uid="{00000000-0005-0000-0000-0000BE3E0000}"/>
    <cellStyle name="SAPBEXHLevel2X 5 7 3" xfId="15844" xr:uid="{00000000-0005-0000-0000-0000BF3E0000}"/>
    <cellStyle name="SAPBEXHLevel2X 5 7 4" xfId="15845" xr:uid="{00000000-0005-0000-0000-0000C03E0000}"/>
    <cellStyle name="SAPBEXHLevel2X 5 8" xfId="15846" xr:uid="{00000000-0005-0000-0000-0000C13E0000}"/>
    <cellStyle name="SAPBEXHLevel2X 5 9" xfId="15847" xr:uid="{00000000-0005-0000-0000-0000C23E0000}"/>
    <cellStyle name="SAPBEXHLevel2X 50" xfId="15848" xr:uid="{00000000-0005-0000-0000-0000C33E0000}"/>
    <cellStyle name="SAPBEXHLevel2X 51" xfId="15849" xr:uid="{00000000-0005-0000-0000-0000C43E0000}"/>
    <cellStyle name="SAPBEXHLevel2X 52" xfId="15850" xr:uid="{00000000-0005-0000-0000-0000C53E0000}"/>
    <cellStyle name="SAPBEXHLevel2X 53" xfId="15851" xr:uid="{00000000-0005-0000-0000-0000C63E0000}"/>
    <cellStyle name="SAPBEXHLevel2X 54" xfId="15852" xr:uid="{00000000-0005-0000-0000-0000C73E0000}"/>
    <cellStyle name="SAPBEXHLevel2X 55" xfId="15853" xr:uid="{00000000-0005-0000-0000-0000C83E0000}"/>
    <cellStyle name="SAPBEXHLevel2X 56" xfId="15854" xr:uid="{00000000-0005-0000-0000-0000C93E0000}"/>
    <cellStyle name="SAPBEXHLevel2X 57" xfId="15855" xr:uid="{00000000-0005-0000-0000-0000CA3E0000}"/>
    <cellStyle name="SAPBEXHLevel2X 58" xfId="15856" xr:uid="{00000000-0005-0000-0000-0000CB3E0000}"/>
    <cellStyle name="SAPBEXHLevel2X 59" xfId="15857" xr:uid="{00000000-0005-0000-0000-0000CC3E0000}"/>
    <cellStyle name="SAPBEXHLevel2X 6" xfId="15858" xr:uid="{00000000-0005-0000-0000-0000CD3E0000}"/>
    <cellStyle name="SAPBEXHLevel2X 6 10" xfId="15859" xr:uid="{00000000-0005-0000-0000-0000CE3E0000}"/>
    <cellStyle name="SAPBEXHLevel2X 6 2" xfId="15860" xr:uid="{00000000-0005-0000-0000-0000CF3E0000}"/>
    <cellStyle name="SAPBEXHLevel2X 6 2 2" xfId="15861" xr:uid="{00000000-0005-0000-0000-0000D03E0000}"/>
    <cellStyle name="SAPBEXHLevel2X 6 2 3" xfId="15862" xr:uid="{00000000-0005-0000-0000-0000D13E0000}"/>
    <cellStyle name="SAPBEXHLevel2X 6 2 4" xfId="15863" xr:uid="{00000000-0005-0000-0000-0000D23E0000}"/>
    <cellStyle name="SAPBEXHLevel2X 6 2 5" xfId="27841" xr:uid="{00000000-0005-0000-0000-0000D33E0000}"/>
    <cellStyle name="SAPBEXHLevel2X 6 3" xfId="15864" xr:uid="{00000000-0005-0000-0000-0000D43E0000}"/>
    <cellStyle name="SAPBEXHLevel2X 6 3 2" xfId="15865" xr:uid="{00000000-0005-0000-0000-0000D53E0000}"/>
    <cellStyle name="SAPBEXHLevel2X 6 3 3" xfId="15866" xr:uid="{00000000-0005-0000-0000-0000D63E0000}"/>
    <cellStyle name="SAPBEXHLevel2X 6 3 4" xfId="15867" xr:uid="{00000000-0005-0000-0000-0000D73E0000}"/>
    <cellStyle name="SAPBEXHLevel2X 6 4" xfId="15868" xr:uid="{00000000-0005-0000-0000-0000D83E0000}"/>
    <cellStyle name="SAPBEXHLevel2X 6 4 2" xfId="15869" xr:uid="{00000000-0005-0000-0000-0000D93E0000}"/>
    <cellStyle name="SAPBEXHLevel2X 6 4 3" xfId="15870" xr:uid="{00000000-0005-0000-0000-0000DA3E0000}"/>
    <cellStyle name="SAPBEXHLevel2X 6 4 4" xfId="15871" xr:uid="{00000000-0005-0000-0000-0000DB3E0000}"/>
    <cellStyle name="SAPBEXHLevel2X 6 5" xfId="15872" xr:uid="{00000000-0005-0000-0000-0000DC3E0000}"/>
    <cellStyle name="SAPBEXHLevel2X 6 5 2" xfId="15873" xr:uid="{00000000-0005-0000-0000-0000DD3E0000}"/>
    <cellStyle name="SAPBEXHLevel2X 6 5 3" xfId="15874" xr:uid="{00000000-0005-0000-0000-0000DE3E0000}"/>
    <cellStyle name="SAPBEXHLevel2X 6 5 4" xfId="15875" xr:uid="{00000000-0005-0000-0000-0000DF3E0000}"/>
    <cellStyle name="SAPBEXHLevel2X 6 6" xfId="15876" xr:uid="{00000000-0005-0000-0000-0000E03E0000}"/>
    <cellStyle name="SAPBEXHLevel2X 6 7" xfId="15877" xr:uid="{00000000-0005-0000-0000-0000E13E0000}"/>
    <cellStyle name="SAPBEXHLevel2X 6 8" xfId="15878" xr:uid="{00000000-0005-0000-0000-0000E23E0000}"/>
    <cellStyle name="SAPBEXHLevel2X 6 9" xfId="15879" xr:uid="{00000000-0005-0000-0000-0000E33E0000}"/>
    <cellStyle name="SAPBEXHLevel2X 60" xfId="15880" xr:uid="{00000000-0005-0000-0000-0000E43E0000}"/>
    <cellStyle name="SAPBEXHLevel2X 61" xfId="15881" xr:uid="{00000000-0005-0000-0000-0000E53E0000}"/>
    <cellStyle name="SAPBEXHLevel2X 62" xfId="15882" xr:uid="{00000000-0005-0000-0000-0000E63E0000}"/>
    <cellStyle name="SAPBEXHLevel2X 63" xfId="15883" xr:uid="{00000000-0005-0000-0000-0000E73E0000}"/>
    <cellStyle name="SAPBEXHLevel2X 64" xfId="15884" xr:uid="{00000000-0005-0000-0000-0000E83E0000}"/>
    <cellStyle name="SAPBEXHLevel2X 65" xfId="15885" xr:uid="{00000000-0005-0000-0000-0000E93E0000}"/>
    <cellStyle name="SAPBEXHLevel2X 66" xfId="15886" xr:uid="{00000000-0005-0000-0000-0000EA3E0000}"/>
    <cellStyle name="SAPBEXHLevel2X 67" xfId="15887" xr:uid="{00000000-0005-0000-0000-0000EB3E0000}"/>
    <cellStyle name="SAPBEXHLevel2X 68" xfId="15888" xr:uid="{00000000-0005-0000-0000-0000EC3E0000}"/>
    <cellStyle name="SAPBEXHLevel2X 69" xfId="15889" xr:uid="{00000000-0005-0000-0000-0000ED3E0000}"/>
    <cellStyle name="SAPBEXHLevel2X 7" xfId="15890" xr:uid="{00000000-0005-0000-0000-0000EE3E0000}"/>
    <cellStyle name="SAPBEXHLevel2X 7 10" xfId="15891" xr:uid="{00000000-0005-0000-0000-0000EF3E0000}"/>
    <cellStyle name="SAPBEXHLevel2X 7 2" xfId="15892" xr:uid="{00000000-0005-0000-0000-0000F03E0000}"/>
    <cellStyle name="SAPBEXHLevel2X 7 2 2" xfId="15893" xr:uid="{00000000-0005-0000-0000-0000F13E0000}"/>
    <cellStyle name="SAPBEXHLevel2X 7 2 3" xfId="15894" xr:uid="{00000000-0005-0000-0000-0000F23E0000}"/>
    <cellStyle name="SAPBEXHLevel2X 7 2 4" xfId="15895" xr:uid="{00000000-0005-0000-0000-0000F33E0000}"/>
    <cellStyle name="SAPBEXHLevel2X 7 2 5" xfId="27846" xr:uid="{00000000-0005-0000-0000-0000F43E0000}"/>
    <cellStyle name="SAPBEXHLevel2X 7 3" xfId="15896" xr:uid="{00000000-0005-0000-0000-0000F53E0000}"/>
    <cellStyle name="SAPBEXHLevel2X 7 3 2" xfId="15897" xr:uid="{00000000-0005-0000-0000-0000F63E0000}"/>
    <cellStyle name="SAPBEXHLevel2X 7 3 3" xfId="15898" xr:uid="{00000000-0005-0000-0000-0000F73E0000}"/>
    <cellStyle name="SAPBEXHLevel2X 7 3 4" xfId="15899" xr:uid="{00000000-0005-0000-0000-0000F83E0000}"/>
    <cellStyle name="SAPBEXHLevel2X 7 4" xfId="15900" xr:uid="{00000000-0005-0000-0000-0000F93E0000}"/>
    <cellStyle name="SAPBEXHLevel2X 7 4 2" xfId="15901" xr:uid="{00000000-0005-0000-0000-0000FA3E0000}"/>
    <cellStyle name="SAPBEXHLevel2X 7 4 3" xfId="15902" xr:uid="{00000000-0005-0000-0000-0000FB3E0000}"/>
    <cellStyle name="SAPBEXHLevel2X 7 4 4" xfId="15903" xr:uid="{00000000-0005-0000-0000-0000FC3E0000}"/>
    <cellStyle name="SAPBEXHLevel2X 7 5" xfId="15904" xr:uid="{00000000-0005-0000-0000-0000FD3E0000}"/>
    <cellStyle name="SAPBEXHLevel2X 7 5 2" xfId="15905" xr:uid="{00000000-0005-0000-0000-0000FE3E0000}"/>
    <cellStyle name="SAPBEXHLevel2X 7 5 3" xfId="15906" xr:uid="{00000000-0005-0000-0000-0000FF3E0000}"/>
    <cellStyle name="SAPBEXHLevel2X 7 5 4" xfId="15907" xr:uid="{00000000-0005-0000-0000-0000003F0000}"/>
    <cellStyle name="SAPBEXHLevel2X 7 6" xfId="15908" xr:uid="{00000000-0005-0000-0000-0000013F0000}"/>
    <cellStyle name="SAPBEXHLevel2X 7 7" xfId="15909" xr:uid="{00000000-0005-0000-0000-0000023F0000}"/>
    <cellStyle name="SAPBEXHLevel2X 7 8" xfId="15910" xr:uid="{00000000-0005-0000-0000-0000033F0000}"/>
    <cellStyle name="SAPBEXHLevel2X 7 9" xfId="15911" xr:uid="{00000000-0005-0000-0000-0000043F0000}"/>
    <cellStyle name="SAPBEXHLevel2X 70" xfId="15912" xr:uid="{00000000-0005-0000-0000-0000053F0000}"/>
    <cellStyle name="SAPBEXHLevel2X 71" xfId="15913" xr:uid="{00000000-0005-0000-0000-0000063F0000}"/>
    <cellStyle name="SAPBEXHLevel2X 72" xfId="15914" xr:uid="{00000000-0005-0000-0000-0000073F0000}"/>
    <cellStyle name="SAPBEXHLevel2X 73" xfId="15915" xr:uid="{00000000-0005-0000-0000-0000083F0000}"/>
    <cellStyle name="SAPBEXHLevel2X 74" xfId="15916" xr:uid="{00000000-0005-0000-0000-0000093F0000}"/>
    <cellStyle name="SAPBEXHLevel2X 75" xfId="15917" xr:uid="{00000000-0005-0000-0000-00000A3F0000}"/>
    <cellStyle name="SAPBEXHLevel2X 76" xfId="15918" xr:uid="{00000000-0005-0000-0000-00000B3F0000}"/>
    <cellStyle name="SAPBEXHLevel2X 77" xfId="15919" xr:uid="{00000000-0005-0000-0000-00000C3F0000}"/>
    <cellStyle name="SAPBEXHLevel2X 78" xfId="15920" xr:uid="{00000000-0005-0000-0000-00000D3F0000}"/>
    <cellStyle name="SAPBEXHLevel2X 79" xfId="15921" xr:uid="{00000000-0005-0000-0000-00000E3F0000}"/>
    <cellStyle name="SAPBEXHLevel2X 8" xfId="15922" xr:uid="{00000000-0005-0000-0000-00000F3F0000}"/>
    <cellStyle name="SAPBEXHLevel2X 8 2" xfId="15923" xr:uid="{00000000-0005-0000-0000-0000103F0000}"/>
    <cellStyle name="SAPBEXHLevel2X 8 3" xfId="15924" xr:uid="{00000000-0005-0000-0000-0000113F0000}"/>
    <cellStyle name="SAPBEXHLevel2X 8 4" xfId="15925" xr:uid="{00000000-0005-0000-0000-0000123F0000}"/>
    <cellStyle name="SAPBEXHLevel2X 8 5" xfId="15926" xr:uid="{00000000-0005-0000-0000-0000133F0000}"/>
    <cellStyle name="SAPBEXHLevel2X 8 6" xfId="15927" xr:uid="{00000000-0005-0000-0000-0000143F0000}"/>
    <cellStyle name="SAPBEXHLevel2X 80" xfId="15928" xr:uid="{00000000-0005-0000-0000-0000153F0000}"/>
    <cellStyle name="SAPBEXHLevel2X 81" xfId="15929" xr:uid="{00000000-0005-0000-0000-0000163F0000}"/>
    <cellStyle name="SAPBEXHLevel2X 82" xfId="15930" xr:uid="{00000000-0005-0000-0000-0000173F0000}"/>
    <cellStyle name="SAPBEXHLevel2X 83" xfId="15931" xr:uid="{00000000-0005-0000-0000-0000183F0000}"/>
    <cellStyle name="SAPBEXHLevel2X 84" xfId="15932" xr:uid="{00000000-0005-0000-0000-0000193F0000}"/>
    <cellStyle name="SAPBEXHLevel2X 85" xfId="15933" xr:uid="{00000000-0005-0000-0000-00001A3F0000}"/>
    <cellStyle name="SAPBEXHLevel2X 86" xfId="15934" xr:uid="{00000000-0005-0000-0000-00001B3F0000}"/>
    <cellStyle name="SAPBEXHLevel2X 87" xfId="15935" xr:uid="{00000000-0005-0000-0000-00001C3F0000}"/>
    <cellStyle name="SAPBEXHLevel2X 88" xfId="15936" xr:uid="{00000000-0005-0000-0000-00001D3F0000}"/>
    <cellStyle name="SAPBEXHLevel2X 89" xfId="15937" xr:uid="{00000000-0005-0000-0000-00001E3F0000}"/>
    <cellStyle name="SAPBEXHLevel2X 9" xfId="15938" xr:uid="{00000000-0005-0000-0000-00001F3F0000}"/>
    <cellStyle name="SAPBEXHLevel2X 9 2" xfId="15939" xr:uid="{00000000-0005-0000-0000-0000203F0000}"/>
    <cellStyle name="SAPBEXHLevel2X 9 3" xfId="15940" xr:uid="{00000000-0005-0000-0000-0000213F0000}"/>
    <cellStyle name="SAPBEXHLevel2X 9 4" xfId="15941" xr:uid="{00000000-0005-0000-0000-0000223F0000}"/>
    <cellStyle name="SAPBEXHLevel2X 9 5" xfId="15942" xr:uid="{00000000-0005-0000-0000-0000233F0000}"/>
    <cellStyle name="SAPBEXHLevel2X 9 6" xfId="15943" xr:uid="{00000000-0005-0000-0000-0000243F0000}"/>
    <cellStyle name="SAPBEXHLevel2X 90" xfId="15944" xr:uid="{00000000-0005-0000-0000-0000253F0000}"/>
    <cellStyle name="SAPBEXHLevel2X 91" xfId="15945" xr:uid="{00000000-0005-0000-0000-0000263F0000}"/>
    <cellStyle name="SAPBEXHLevel2X 92" xfId="15946" xr:uid="{00000000-0005-0000-0000-0000273F0000}"/>
    <cellStyle name="SAPBEXHLevel2X 93" xfId="15947" xr:uid="{00000000-0005-0000-0000-0000283F0000}"/>
    <cellStyle name="SAPBEXHLevel2X 94" xfId="15948" xr:uid="{00000000-0005-0000-0000-0000293F0000}"/>
    <cellStyle name="SAPBEXHLevel2X 95" xfId="15949" xr:uid="{00000000-0005-0000-0000-00002A3F0000}"/>
    <cellStyle name="SAPBEXHLevel2X 96" xfId="15950" xr:uid="{00000000-0005-0000-0000-00002B3F0000}"/>
    <cellStyle name="SAPBEXHLevel2X 97" xfId="15951" xr:uid="{00000000-0005-0000-0000-00002C3F0000}"/>
    <cellStyle name="SAPBEXHLevel2X 98" xfId="15952" xr:uid="{00000000-0005-0000-0000-00002D3F0000}"/>
    <cellStyle name="SAPBEXHLevel2X 99" xfId="15953" xr:uid="{00000000-0005-0000-0000-00002E3F0000}"/>
    <cellStyle name="SAPBEXHLevel2X_2009 12 09 Cash flow (2009)" xfId="15954" xr:uid="{00000000-0005-0000-0000-00002F3F0000}"/>
    <cellStyle name="SAPBEXHLevel3" xfId="15955" xr:uid="{00000000-0005-0000-0000-0000303F0000}"/>
    <cellStyle name="SAPBEXHLevel3 10" xfId="15956" xr:uid="{00000000-0005-0000-0000-0000313F0000}"/>
    <cellStyle name="SAPBEXHLevel3 10 2" xfId="15957" xr:uid="{00000000-0005-0000-0000-0000323F0000}"/>
    <cellStyle name="SAPBEXHLevel3 10 3" xfId="15958" xr:uid="{00000000-0005-0000-0000-0000333F0000}"/>
    <cellStyle name="SAPBEXHLevel3 10 4" xfId="15959" xr:uid="{00000000-0005-0000-0000-0000343F0000}"/>
    <cellStyle name="SAPBEXHLevel3 10 5" xfId="15960" xr:uid="{00000000-0005-0000-0000-0000353F0000}"/>
    <cellStyle name="SAPBEXHLevel3 10 6" xfId="15961" xr:uid="{00000000-0005-0000-0000-0000363F0000}"/>
    <cellStyle name="SAPBEXHLevel3 11" xfId="15962" xr:uid="{00000000-0005-0000-0000-0000373F0000}"/>
    <cellStyle name="SAPBEXHLevel3 11 2" xfId="15963" xr:uid="{00000000-0005-0000-0000-0000383F0000}"/>
    <cellStyle name="SAPBEXHLevel3 11 3" xfId="15964" xr:uid="{00000000-0005-0000-0000-0000393F0000}"/>
    <cellStyle name="SAPBEXHLevel3 11 4" xfId="15965" xr:uid="{00000000-0005-0000-0000-00003A3F0000}"/>
    <cellStyle name="SAPBEXHLevel3 11 5" xfId="15966" xr:uid="{00000000-0005-0000-0000-00003B3F0000}"/>
    <cellStyle name="SAPBEXHLevel3 11 6" xfId="15967" xr:uid="{00000000-0005-0000-0000-00003C3F0000}"/>
    <cellStyle name="SAPBEXHLevel3 12" xfId="15968" xr:uid="{00000000-0005-0000-0000-00003D3F0000}"/>
    <cellStyle name="SAPBEXHLevel3 12 2" xfId="15969" xr:uid="{00000000-0005-0000-0000-00003E3F0000}"/>
    <cellStyle name="SAPBEXHLevel3 12 3" xfId="15970" xr:uid="{00000000-0005-0000-0000-00003F3F0000}"/>
    <cellStyle name="SAPBEXHLevel3 12 4" xfId="15971" xr:uid="{00000000-0005-0000-0000-0000403F0000}"/>
    <cellStyle name="SAPBEXHLevel3 12 5" xfId="15972" xr:uid="{00000000-0005-0000-0000-0000413F0000}"/>
    <cellStyle name="SAPBEXHLevel3 12 6" xfId="15973" xr:uid="{00000000-0005-0000-0000-0000423F0000}"/>
    <cellStyle name="SAPBEXHLevel3 13" xfId="15974" xr:uid="{00000000-0005-0000-0000-0000433F0000}"/>
    <cellStyle name="SAPBEXHLevel3 13 2" xfId="15975" xr:uid="{00000000-0005-0000-0000-0000443F0000}"/>
    <cellStyle name="SAPBEXHLevel3 13 3" xfId="15976" xr:uid="{00000000-0005-0000-0000-0000453F0000}"/>
    <cellStyle name="SAPBEXHLevel3 13 4" xfId="15977" xr:uid="{00000000-0005-0000-0000-0000463F0000}"/>
    <cellStyle name="SAPBEXHLevel3 13 5" xfId="15978" xr:uid="{00000000-0005-0000-0000-0000473F0000}"/>
    <cellStyle name="SAPBEXHLevel3 13 6" xfId="15979" xr:uid="{00000000-0005-0000-0000-0000483F0000}"/>
    <cellStyle name="SAPBEXHLevel3 14" xfId="15980" xr:uid="{00000000-0005-0000-0000-0000493F0000}"/>
    <cellStyle name="SAPBEXHLevel3 14 2" xfId="15981" xr:uid="{00000000-0005-0000-0000-00004A3F0000}"/>
    <cellStyle name="SAPBEXHLevel3 14 3" xfId="15982" xr:uid="{00000000-0005-0000-0000-00004B3F0000}"/>
    <cellStyle name="SAPBEXHLevel3 14 4" xfId="15983" xr:uid="{00000000-0005-0000-0000-00004C3F0000}"/>
    <cellStyle name="SAPBEXHLevel3 14 5" xfId="15984" xr:uid="{00000000-0005-0000-0000-00004D3F0000}"/>
    <cellStyle name="SAPBEXHLevel3 14 6" xfId="15985" xr:uid="{00000000-0005-0000-0000-00004E3F0000}"/>
    <cellStyle name="SAPBEXHLevel3 15" xfId="15986" xr:uid="{00000000-0005-0000-0000-00004F3F0000}"/>
    <cellStyle name="SAPBEXHLevel3 15 2" xfId="15987" xr:uid="{00000000-0005-0000-0000-0000503F0000}"/>
    <cellStyle name="SAPBEXHLevel3 15 3" xfId="15988" xr:uid="{00000000-0005-0000-0000-0000513F0000}"/>
    <cellStyle name="SAPBEXHLevel3 15 4" xfId="15989" xr:uid="{00000000-0005-0000-0000-0000523F0000}"/>
    <cellStyle name="SAPBEXHLevel3 15 5" xfId="15990" xr:uid="{00000000-0005-0000-0000-0000533F0000}"/>
    <cellStyle name="SAPBEXHLevel3 15 6" xfId="15991" xr:uid="{00000000-0005-0000-0000-0000543F0000}"/>
    <cellStyle name="SAPBEXHLevel3 16" xfId="15992" xr:uid="{00000000-0005-0000-0000-0000553F0000}"/>
    <cellStyle name="SAPBEXHLevel3 16 2" xfId="15993" xr:uid="{00000000-0005-0000-0000-0000563F0000}"/>
    <cellStyle name="SAPBEXHLevel3 16 3" xfId="15994" xr:uid="{00000000-0005-0000-0000-0000573F0000}"/>
    <cellStyle name="SAPBEXHLevel3 16 4" xfId="15995" xr:uid="{00000000-0005-0000-0000-0000583F0000}"/>
    <cellStyle name="SAPBEXHLevel3 16 5" xfId="15996" xr:uid="{00000000-0005-0000-0000-0000593F0000}"/>
    <cellStyle name="SAPBEXHLevel3 16 6" xfId="15997" xr:uid="{00000000-0005-0000-0000-00005A3F0000}"/>
    <cellStyle name="SAPBEXHLevel3 17" xfId="15998" xr:uid="{00000000-0005-0000-0000-00005B3F0000}"/>
    <cellStyle name="SAPBEXHLevel3 17 2" xfId="15999" xr:uid="{00000000-0005-0000-0000-00005C3F0000}"/>
    <cellStyle name="SAPBEXHLevel3 17 3" xfId="16000" xr:uid="{00000000-0005-0000-0000-00005D3F0000}"/>
    <cellStyle name="SAPBEXHLevel3 17 4" xfId="16001" xr:uid="{00000000-0005-0000-0000-00005E3F0000}"/>
    <cellStyle name="SAPBEXHLevel3 17 5" xfId="16002" xr:uid="{00000000-0005-0000-0000-00005F3F0000}"/>
    <cellStyle name="SAPBEXHLevel3 17 6" xfId="16003" xr:uid="{00000000-0005-0000-0000-0000603F0000}"/>
    <cellStyle name="SAPBEXHLevel3 18" xfId="16004" xr:uid="{00000000-0005-0000-0000-0000613F0000}"/>
    <cellStyle name="SAPBEXHLevel3 18 2" xfId="16005" xr:uid="{00000000-0005-0000-0000-0000623F0000}"/>
    <cellStyle name="SAPBEXHLevel3 18 3" xfId="16006" xr:uid="{00000000-0005-0000-0000-0000633F0000}"/>
    <cellStyle name="SAPBEXHLevel3 18 4" xfId="16007" xr:uid="{00000000-0005-0000-0000-0000643F0000}"/>
    <cellStyle name="SAPBEXHLevel3 18 5" xfId="16008" xr:uid="{00000000-0005-0000-0000-0000653F0000}"/>
    <cellStyle name="SAPBEXHLevel3 18 6" xfId="16009" xr:uid="{00000000-0005-0000-0000-0000663F0000}"/>
    <cellStyle name="SAPBEXHLevel3 19" xfId="16010" xr:uid="{00000000-0005-0000-0000-0000673F0000}"/>
    <cellStyle name="SAPBEXHLevel3 19 2" xfId="16011" xr:uid="{00000000-0005-0000-0000-0000683F0000}"/>
    <cellStyle name="SAPBEXHLevel3 19 3" xfId="16012" xr:uid="{00000000-0005-0000-0000-0000693F0000}"/>
    <cellStyle name="SAPBEXHLevel3 19 4" xfId="16013" xr:uid="{00000000-0005-0000-0000-00006A3F0000}"/>
    <cellStyle name="SAPBEXHLevel3 19 5" xfId="16014" xr:uid="{00000000-0005-0000-0000-00006B3F0000}"/>
    <cellStyle name="SAPBEXHLevel3 19 6" xfId="16015" xr:uid="{00000000-0005-0000-0000-00006C3F0000}"/>
    <cellStyle name="SAPBEXHLevel3 2" xfId="16016" xr:uid="{00000000-0005-0000-0000-00006D3F0000}"/>
    <cellStyle name="SAPBEXHLevel3 2 10" xfId="16017" xr:uid="{00000000-0005-0000-0000-00006E3F0000}"/>
    <cellStyle name="SAPBEXHLevel3 2 10 2" xfId="16018" xr:uid="{00000000-0005-0000-0000-00006F3F0000}"/>
    <cellStyle name="SAPBEXHLevel3 2 10 3" xfId="16019" xr:uid="{00000000-0005-0000-0000-0000703F0000}"/>
    <cellStyle name="SAPBEXHLevel3 2 10 4" xfId="16020" xr:uid="{00000000-0005-0000-0000-0000713F0000}"/>
    <cellStyle name="SAPBEXHLevel3 2 11" xfId="16021" xr:uid="{00000000-0005-0000-0000-0000723F0000}"/>
    <cellStyle name="SAPBEXHLevel3 2 11 2" xfId="16022" xr:uid="{00000000-0005-0000-0000-0000733F0000}"/>
    <cellStyle name="SAPBEXHLevel3 2 11 3" xfId="16023" xr:uid="{00000000-0005-0000-0000-0000743F0000}"/>
    <cellStyle name="SAPBEXHLevel3 2 11 4" xfId="16024" xr:uid="{00000000-0005-0000-0000-0000753F0000}"/>
    <cellStyle name="SAPBEXHLevel3 2 12" xfId="16025" xr:uid="{00000000-0005-0000-0000-0000763F0000}"/>
    <cellStyle name="SAPBEXHLevel3 2 12 2" xfId="16026" xr:uid="{00000000-0005-0000-0000-0000773F0000}"/>
    <cellStyle name="SAPBEXHLevel3 2 12 3" xfId="16027" xr:uid="{00000000-0005-0000-0000-0000783F0000}"/>
    <cellStyle name="SAPBEXHLevel3 2 12 4" xfId="16028" xr:uid="{00000000-0005-0000-0000-0000793F0000}"/>
    <cellStyle name="SAPBEXHLevel3 2 13" xfId="16029" xr:uid="{00000000-0005-0000-0000-00007A3F0000}"/>
    <cellStyle name="SAPBEXHLevel3 2 13 2" xfId="16030" xr:uid="{00000000-0005-0000-0000-00007B3F0000}"/>
    <cellStyle name="SAPBEXHLevel3 2 13 3" xfId="16031" xr:uid="{00000000-0005-0000-0000-00007C3F0000}"/>
    <cellStyle name="SAPBEXHLevel3 2 13 4" xfId="16032" xr:uid="{00000000-0005-0000-0000-00007D3F0000}"/>
    <cellStyle name="SAPBEXHLevel3 2 14" xfId="16033" xr:uid="{00000000-0005-0000-0000-00007E3F0000}"/>
    <cellStyle name="SAPBEXHLevel3 2 15" xfId="16034" xr:uid="{00000000-0005-0000-0000-00007F3F0000}"/>
    <cellStyle name="SAPBEXHLevel3 2 16" xfId="16035" xr:uid="{00000000-0005-0000-0000-0000803F0000}"/>
    <cellStyle name="SAPBEXHLevel3 2 17" xfId="16036" xr:uid="{00000000-0005-0000-0000-0000813F0000}"/>
    <cellStyle name="SAPBEXHLevel3 2 18" xfId="16037" xr:uid="{00000000-0005-0000-0000-0000823F0000}"/>
    <cellStyle name="SAPBEXHLevel3 2 2" xfId="16038" xr:uid="{00000000-0005-0000-0000-0000833F0000}"/>
    <cellStyle name="SAPBEXHLevel3 2 2 2" xfId="16039" xr:uid="{00000000-0005-0000-0000-0000843F0000}"/>
    <cellStyle name="SAPBEXHLevel3 2 2 2 2" xfId="16040" xr:uid="{00000000-0005-0000-0000-0000853F0000}"/>
    <cellStyle name="SAPBEXHLevel3 2 2 2 3" xfId="16041" xr:uid="{00000000-0005-0000-0000-0000863F0000}"/>
    <cellStyle name="SAPBEXHLevel3 2 2 2 4" xfId="16042" xr:uid="{00000000-0005-0000-0000-0000873F0000}"/>
    <cellStyle name="SAPBEXHLevel3 2 2 2 5" xfId="16043" xr:uid="{00000000-0005-0000-0000-0000883F0000}"/>
    <cellStyle name="SAPBEXHLevel3 2 2 2 6" xfId="16044" xr:uid="{00000000-0005-0000-0000-0000893F0000}"/>
    <cellStyle name="SAPBEXHLevel3 2 2 3" xfId="16045" xr:uid="{00000000-0005-0000-0000-00008A3F0000}"/>
    <cellStyle name="SAPBEXHLevel3 2 2 3 2" xfId="16046" xr:uid="{00000000-0005-0000-0000-00008B3F0000}"/>
    <cellStyle name="SAPBEXHLevel3 2 2 3 3" xfId="16047" xr:uid="{00000000-0005-0000-0000-00008C3F0000}"/>
    <cellStyle name="SAPBEXHLevel3 2 2 3 4" xfId="16048" xr:uid="{00000000-0005-0000-0000-00008D3F0000}"/>
    <cellStyle name="SAPBEXHLevel3 2 2 3 5" xfId="16049" xr:uid="{00000000-0005-0000-0000-00008E3F0000}"/>
    <cellStyle name="SAPBEXHLevel3 2 2 3 6" xfId="16050" xr:uid="{00000000-0005-0000-0000-00008F3F0000}"/>
    <cellStyle name="SAPBEXHLevel3 2 2 4" xfId="16051" xr:uid="{00000000-0005-0000-0000-0000903F0000}"/>
    <cellStyle name="SAPBEXHLevel3 2 2 4 2" xfId="16052" xr:uid="{00000000-0005-0000-0000-0000913F0000}"/>
    <cellStyle name="SAPBEXHLevel3 2 2 4 3" xfId="16053" xr:uid="{00000000-0005-0000-0000-0000923F0000}"/>
    <cellStyle name="SAPBEXHLevel3 2 2 4 4" xfId="16054" xr:uid="{00000000-0005-0000-0000-0000933F0000}"/>
    <cellStyle name="SAPBEXHLevel3 2 2 4 5" xfId="16055" xr:uid="{00000000-0005-0000-0000-0000943F0000}"/>
    <cellStyle name="SAPBEXHLevel3 2 2 4 6" xfId="16056" xr:uid="{00000000-0005-0000-0000-0000953F0000}"/>
    <cellStyle name="SAPBEXHLevel3 2 2 5" xfId="16057" xr:uid="{00000000-0005-0000-0000-0000963F0000}"/>
    <cellStyle name="SAPBEXHLevel3 2 2 5 2" xfId="16058" xr:uid="{00000000-0005-0000-0000-0000973F0000}"/>
    <cellStyle name="SAPBEXHLevel3 2 2 5 3" xfId="16059" xr:uid="{00000000-0005-0000-0000-0000983F0000}"/>
    <cellStyle name="SAPBEXHLevel3 2 2 5 4" xfId="16060" xr:uid="{00000000-0005-0000-0000-0000993F0000}"/>
    <cellStyle name="SAPBEXHLevel3 2 2 5 5" xfId="16061" xr:uid="{00000000-0005-0000-0000-00009A3F0000}"/>
    <cellStyle name="SAPBEXHLevel3 2 2 5 6" xfId="16062" xr:uid="{00000000-0005-0000-0000-00009B3F0000}"/>
    <cellStyle name="SAPBEXHLevel3 2 2 6" xfId="16063" xr:uid="{00000000-0005-0000-0000-00009C3F0000}"/>
    <cellStyle name="SAPBEXHLevel3 2 2 7" xfId="16064" xr:uid="{00000000-0005-0000-0000-00009D3F0000}"/>
    <cellStyle name="SAPBEXHLevel3 2 2 8" xfId="16065" xr:uid="{00000000-0005-0000-0000-00009E3F0000}"/>
    <cellStyle name="SAPBEXHLevel3 2 3" xfId="16066" xr:uid="{00000000-0005-0000-0000-00009F3F0000}"/>
    <cellStyle name="SAPBEXHLevel3 2 3 2" xfId="16067" xr:uid="{00000000-0005-0000-0000-0000A03F0000}"/>
    <cellStyle name="SAPBEXHLevel3 2 3 2 2" xfId="16068" xr:uid="{00000000-0005-0000-0000-0000A13F0000}"/>
    <cellStyle name="SAPBEXHLevel3 2 3 2 3" xfId="16069" xr:uid="{00000000-0005-0000-0000-0000A23F0000}"/>
    <cellStyle name="SAPBEXHLevel3 2 3 2 4" xfId="16070" xr:uid="{00000000-0005-0000-0000-0000A33F0000}"/>
    <cellStyle name="SAPBEXHLevel3 2 3 2 5" xfId="16071" xr:uid="{00000000-0005-0000-0000-0000A43F0000}"/>
    <cellStyle name="SAPBEXHLevel3 2 3 2 6" xfId="16072" xr:uid="{00000000-0005-0000-0000-0000A53F0000}"/>
    <cellStyle name="SAPBEXHLevel3 2 3 3" xfId="16073" xr:uid="{00000000-0005-0000-0000-0000A63F0000}"/>
    <cellStyle name="SAPBEXHLevel3 2 3 3 2" xfId="16074" xr:uid="{00000000-0005-0000-0000-0000A73F0000}"/>
    <cellStyle name="SAPBEXHLevel3 2 3 3 3" xfId="16075" xr:uid="{00000000-0005-0000-0000-0000A83F0000}"/>
    <cellStyle name="SAPBEXHLevel3 2 3 3 4" xfId="16076" xr:uid="{00000000-0005-0000-0000-0000A93F0000}"/>
    <cellStyle name="SAPBEXHLevel3 2 3 3 5" xfId="16077" xr:uid="{00000000-0005-0000-0000-0000AA3F0000}"/>
    <cellStyle name="SAPBEXHLevel3 2 3 3 6" xfId="16078" xr:uid="{00000000-0005-0000-0000-0000AB3F0000}"/>
    <cellStyle name="SAPBEXHLevel3 2 3 4" xfId="16079" xr:uid="{00000000-0005-0000-0000-0000AC3F0000}"/>
    <cellStyle name="SAPBEXHLevel3 2 3 4 2" xfId="16080" xr:uid="{00000000-0005-0000-0000-0000AD3F0000}"/>
    <cellStyle name="SAPBEXHLevel3 2 3 4 3" xfId="16081" xr:uid="{00000000-0005-0000-0000-0000AE3F0000}"/>
    <cellStyle name="SAPBEXHLevel3 2 3 4 4" xfId="16082" xr:uid="{00000000-0005-0000-0000-0000AF3F0000}"/>
    <cellStyle name="SAPBEXHLevel3 2 3 4 5" xfId="16083" xr:uid="{00000000-0005-0000-0000-0000B03F0000}"/>
    <cellStyle name="SAPBEXHLevel3 2 3 4 6" xfId="16084" xr:uid="{00000000-0005-0000-0000-0000B13F0000}"/>
    <cellStyle name="SAPBEXHLevel3 2 3 5" xfId="16085" xr:uid="{00000000-0005-0000-0000-0000B23F0000}"/>
    <cellStyle name="SAPBEXHLevel3 2 3 5 2" xfId="16086" xr:uid="{00000000-0005-0000-0000-0000B33F0000}"/>
    <cellStyle name="SAPBEXHLevel3 2 3 5 3" xfId="16087" xr:uid="{00000000-0005-0000-0000-0000B43F0000}"/>
    <cellStyle name="SAPBEXHLevel3 2 3 5 4" xfId="16088" xr:uid="{00000000-0005-0000-0000-0000B53F0000}"/>
    <cellStyle name="SAPBEXHLevel3 2 3 5 5" xfId="16089" xr:uid="{00000000-0005-0000-0000-0000B63F0000}"/>
    <cellStyle name="SAPBEXHLevel3 2 3 5 6" xfId="16090" xr:uid="{00000000-0005-0000-0000-0000B73F0000}"/>
    <cellStyle name="SAPBEXHLevel3 2 3 6" xfId="16091" xr:uid="{00000000-0005-0000-0000-0000B83F0000}"/>
    <cellStyle name="SAPBEXHLevel3 2 3 7" xfId="16092" xr:uid="{00000000-0005-0000-0000-0000B93F0000}"/>
    <cellStyle name="SAPBEXHLevel3 2 3 8" xfId="16093" xr:uid="{00000000-0005-0000-0000-0000BA3F0000}"/>
    <cellStyle name="SAPBEXHLevel3 2 4" xfId="16094" xr:uid="{00000000-0005-0000-0000-0000BB3F0000}"/>
    <cellStyle name="SAPBEXHLevel3 2 4 2" xfId="16095" xr:uid="{00000000-0005-0000-0000-0000BC3F0000}"/>
    <cellStyle name="SAPBEXHLevel3 2 4 2 2" xfId="16096" xr:uid="{00000000-0005-0000-0000-0000BD3F0000}"/>
    <cellStyle name="SAPBEXHLevel3 2 4 2 3" xfId="16097" xr:uid="{00000000-0005-0000-0000-0000BE3F0000}"/>
    <cellStyle name="SAPBEXHLevel3 2 4 2 4" xfId="16098" xr:uid="{00000000-0005-0000-0000-0000BF3F0000}"/>
    <cellStyle name="SAPBEXHLevel3 2 4 2 5" xfId="16099" xr:uid="{00000000-0005-0000-0000-0000C03F0000}"/>
    <cellStyle name="SAPBEXHLevel3 2 4 2 6" xfId="16100" xr:uid="{00000000-0005-0000-0000-0000C13F0000}"/>
    <cellStyle name="SAPBEXHLevel3 2 4 3" xfId="16101" xr:uid="{00000000-0005-0000-0000-0000C23F0000}"/>
    <cellStyle name="SAPBEXHLevel3 2 4 3 2" xfId="16102" xr:uid="{00000000-0005-0000-0000-0000C33F0000}"/>
    <cellStyle name="SAPBEXHLevel3 2 4 3 3" xfId="16103" xr:uid="{00000000-0005-0000-0000-0000C43F0000}"/>
    <cellStyle name="SAPBEXHLevel3 2 4 3 4" xfId="16104" xr:uid="{00000000-0005-0000-0000-0000C53F0000}"/>
    <cellStyle name="SAPBEXHLevel3 2 4 3 5" xfId="16105" xr:uid="{00000000-0005-0000-0000-0000C63F0000}"/>
    <cellStyle name="SAPBEXHLevel3 2 4 3 6" xfId="16106" xr:uid="{00000000-0005-0000-0000-0000C73F0000}"/>
    <cellStyle name="SAPBEXHLevel3 2 4 4" xfId="16107" xr:uid="{00000000-0005-0000-0000-0000C83F0000}"/>
    <cellStyle name="SAPBEXHLevel3 2 4 4 2" xfId="16108" xr:uid="{00000000-0005-0000-0000-0000C93F0000}"/>
    <cellStyle name="SAPBEXHLevel3 2 4 4 3" xfId="16109" xr:uid="{00000000-0005-0000-0000-0000CA3F0000}"/>
    <cellStyle name="SAPBEXHLevel3 2 4 4 4" xfId="16110" xr:uid="{00000000-0005-0000-0000-0000CB3F0000}"/>
    <cellStyle name="SAPBEXHLevel3 2 4 4 5" xfId="16111" xr:uid="{00000000-0005-0000-0000-0000CC3F0000}"/>
    <cellStyle name="SAPBEXHLevel3 2 4 4 6" xfId="16112" xr:uid="{00000000-0005-0000-0000-0000CD3F0000}"/>
    <cellStyle name="SAPBEXHLevel3 2 4 5" xfId="16113" xr:uid="{00000000-0005-0000-0000-0000CE3F0000}"/>
    <cellStyle name="SAPBEXHLevel3 2 4 5 2" xfId="16114" xr:uid="{00000000-0005-0000-0000-0000CF3F0000}"/>
    <cellStyle name="SAPBEXHLevel3 2 4 5 3" xfId="16115" xr:uid="{00000000-0005-0000-0000-0000D03F0000}"/>
    <cellStyle name="SAPBEXHLevel3 2 4 5 4" xfId="16116" xr:uid="{00000000-0005-0000-0000-0000D13F0000}"/>
    <cellStyle name="SAPBEXHLevel3 2 4 5 5" xfId="16117" xr:uid="{00000000-0005-0000-0000-0000D23F0000}"/>
    <cellStyle name="SAPBEXHLevel3 2 4 5 6" xfId="16118" xr:uid="{00000000-0005-0000-0000-0000D33F0000}"/>
    <cellStyle name="SAPBEXHLevel3 2 4 6" xfId="16119" xr:uid="{00000000-0005-0000-0000-0000D43F0000}"/>
    <cellStyle name="SAPBEXHLevel3 2 4 7" xfId="16120" xr:uid="{00000000-0005-0000-0000-0000D53F0000}"/>
    <cellStyle name="SAPBEXHLevel3 2 4 8" xfId="16121" xr:uid="{00000000-0005-0000-0000-0000D63F0000}"/>
    <cellStyle name="SAPBEXHLevel3 2 5" xfId="16122" xr:uid="{00000000-0005-0000-0000-0000D73F0000}"/>
    <cellStyle name="SAPBEXHLevel3 2 5 2" xfId="16123" xr:uid="{00000000-0005-0000-0000-0000D83F0000}"/>
    <cellStyle name="SAPBEXHLevel3 2 5 3" xfId="16124" xr:uid="{00000000-0005-0000-0000-0000D93F0000}"/>
    <cellStyle name="SAPBEXHLevel3 2 5 4" xfId="16125" xr:uid="{00000000-0005-0000-0000-0000DA3F0000}"/>
    <cellStyle name="SAPBEXHLevel3 2 6" xfId="16126" xr:uid="{00000000-0005-0000-0000-0000DB3F0000}"/>
    <cellStyle name="SAPBEXHLevel3 2 6 2" xfId="16127" xr:uid="{00000000-0005-0000-0000-0000DC3F0000}"/>
    <cellStyle name="SAPBEXHLevel3 2 6 3" xfId="16128" xr:uid="{00000000-0005-0000-0000-0000DD3F0000}"/>
    <cellStyle name="SAPBEXHLevel3 2 6 4" xfId="16129" xr:uid="{00000000-0005-0000-0000-0000DE3F0000}"/>
    <cellStyle name="SAPBEXHLevel3 2 7" xfId="16130" xr:uid="{00000000-0005-0000-0000-0000DF3F0000}"/>
    <cellStyle name="SAPBEXHLevel3 2 7 2" xfId="16131" xr:uid="{00000000-0005-0000-0000-0000E03F0000}"/>
    <cellStyle name="SAPBEXHLevel3 2 7 3" xfId="16132" xr:uid="{00000000-0005-0000-0000-0000E13F0000}"/>
    <cellStyle name="SAPBEXHLevel3 2 7 4" xfId="16133" xr:uid="{00000000-0005-0000-0000-0000E23F0000}"/>
    <cellStyle name="SAPBEXHLevel3 2 8" xfId="16134" xr:uid="{00000000-0005-0000-0000-0000E33F0000}"/>
    <cellStyle name="SAPBEXHLevel3 2 8 2" xfId="16135" xr:uid="{00000000-0005-0000-0000-0000E43F0000}"/>
    <cellStyle name="SAPBEXHLevel3 2 8 3" xfId="16136" xr:uid="{00000000-0005-0000-0000-0000E53F0000}"/>
    <cellStyle name="SAPBEXHLevel3 2 8 4" xfId="16137" xr:uid="{00000000-0005-0000-0000-0000E63F0000}"/>
    <cellStyle name="SAPBEXHLevel3 2 9" xfId="16138" xr:uid="{00000000-0005-0000-0000-0000E73F0000}"/>
    <cellStyle name="SAPBEXHLevel3 2 9 2" xfId="16139" xr:uid="{00000000-0005-0000-0000-0000E83F0000}"/>
    <cellStyle name="SAPBEXHLevel3 2 9 3" xfId="16140" xr:uid="{00000000-0005-0000-0000-0000E93F0000}"/>
    <cellStyle name="SAPBEXHLevel3 2 9 4" xfId="16141" xr:uid="{00000000-0005-0000-0000-0000EA3F0000}"/>
    <cellStyle name="SAPBEXHLevel3 20" xfId="16142" xr:uid="{00000000-0005-0000-0000-0000EB3F0000}"/>
    <cellStyle name="SAPBEXHLevel3 20 2" xfId="16143" xr:uid="{00000000-0005-0000-0000-0000EC3F0000}"/>
    <cellStyle name="SAPBEXHLevel3 20 3" xfId="16144" xr:uid="{00000000-0005-0000-0000-0000ED3F0000}"/>
    <cellStyle name="SAPBEXHLevel3 20 4" xfId="16145" xr:uid="{00000000-0005-0000-0000-0000EE3F0000}"/>
    <cellStyle name="SAPBEXHLevel3 20 5" xfId="16146" xr:uid="{00000000-0005-0000-0000-0000EF3F0000}"/>
    <cellStyle name="SAPBEXHLevel3 20 6" xfId="16147" xr:uid="{00000000-0005-0000-0000-0000F03F0000}"/>
    <cellStyle name="SAPBEXHLevel3 21" xfId="16148" xr:uid="{00000000-0005-0000-0000-0000F13F0000}"/>
    <cellStyle name="SAPBEXHLevel3 21 2" xfId="16149" xr:uid="{00000000-0005-0000-0000-0000F23F0000}"/>
    <cellStyle name="SAPBEXHLevel3 21 3" xfId="16150" xr:uid="{00000000-0005-0000-0000-0000F33F0000}"/>
    <cellStyle name="SAPBEXHLevel3 21 4" xfId="16151" xr:uid="{00000000-0005-0000-0000-0000F43F0000}"/>
    <cellStyle name="SAPBEXHLevel3 21 5" xfId="16152" xr:uid="{00000000-0005-0000-0000-0000F53F0000}"/>
    <cellStyle name="SAPBEXHLevel3 21 6" xfId="16153" xr:uid="{00000000-0005-0000-0000-0000F63F0000}"/>
    <cellStyle name="SAPBEXHLevel3 22" xfId="16154" xr:uid="{00000000-0005-0000-0000-0000F73F0000}"/>
    <cellStyle name="SAPBEXHLevel3 22 2" xfId="16155" xr:uid="{00000000-0005-0000-0000-0000F83F0000}"/>
    <cellStyle name="SAPBEXHLevel3 22 3" xfId="16156" xr:uid="{00000000-0005-0000-0000-0000F93F0000}"/>
    <cellStyle name="SAPBEXHLevel3 22 4" xfId="16157" xr:uid="{00000000-0005-0000-0000-0000FA3F0000}"/>
    <cellStyle name="SAPBEXHLevel3 22 5" xfId="16158" xr:uid="{00000000-0005-0000-0000-0000FB3F0000}"/>
    <cellStyle name="SAPBEXHLevel3 22 6" xfId="16159" xr:uid="{00000000-0005-0000-0000-0000FC3F0000}"/>
    <cellStyle name="SAPBEXHLevel3 23" xfId="16160" xr:uid="{00000000-0005-0000-0000-0000FD3F0000}"/>
    <cellStyle name="SAPBEXHLevel3 23 2" xfId="16161" xr:uid="{00000000-0005-0000-0000-0000FE3F0000}"/>
    <cellStyle name="SAPBEXHLevel3 23 3" xfId="16162" xr:uid="{00000000-0005-0000-0000-0000FF3F0000}"/>
    <cellStyle name="SAPBEXHLevel3 23 4" xfId="16163" xr:uid="{00000000-0005-0000-0000-000000400000}"/>
    <cellStyle name="SAPBEXHLevel3 23 5" xfId="16164" xr:uid="{00000000-0005-0000-0000-000001400000}"/>
    <cellStyle name="SAPBEXHLevel3 23 6" xfId="16165" xr:uid="{00000000-0005-0000-0000-000002400000}"/>
    <cellStyle name="SAPBEXHLevel3 24" xfId="16166" xr:uid="{00000000-0005-0000-0000-000003400000}"/>
    <cellStyle name="SAPBEXHLevel3 24 2" xfId="16167" xr:uid="{00000000-0005-0000-0000-000004400000}"/>
    <cellStyle name="SAPBEXHLevel3 24 3" xfId="16168" xr:uid="{00000000-0005-0000-0000-000005400000}"/>
    <cellStyle name="SAPBEXHLevel3 24 4" xfId="16169" xr:uid="{00000000-0005-0000-0000-000006400000}"/>
    <cellStyle name="SAPBEXHLevel3 24 5" xfId="16170" xr:uid="{00000000-0005-0000-0000-000007400000}"/>
    <cellStyle name="SAPBEXHLevel3 24 6" xfId="16171" xr:uid="{00000000-0005-0000-0000-000008400000}"/>
    <cellStyle name="SAPBEXHLevel3 25" xfId="16172" xr:uid="{00000000-0005-0000-0000-000009400000}"/>
    <cellStyle name="SAPBEXHLevel3 25 2" xfId="16173" xr:uid="{00000000-0005-0000-0000-00000A400000}"/>
    <cellStyle name="SAPBEXHLevel3 25 3" xfId="16174" xr:uid="{00000000-0005-0000-0000-00000B400000}"/>
    <cellStyle name="SAPBEXHLevel3 25 4" xfId="16175" xr:uid="{00000000-0005-0000-0000-00000C400000}"/>
    <cellStyle name="SAPBEXHLevel3 25 5" xfId="16176" xr:uid="{00000000-0005-0000-0000-00000D400000}"/>
    <cellStyle name="SAPBEXHLevel3 25 6" xfId="16177" xr:uid="{00000000-0005-0000-0000-00000E400000}"/>
    <cellStyle name="SAPBEXHLevel3 26" xfId="16178" xr:uid="{00000000-0005-0000-0000-00000F400000}"/>
    <cellStyle name="SAPBEXHLevel3 26 2" xfId="16179" xr:uid="{00000000-0005-0000-0000-000010400000}"/>
    <cellStyle name="SAPBEXHLevel3 26 3" xfId="16180" xr:uid="{00000000-0005-0000-0000-000011400000}"/>
    <cellStyle name="SAPBEXHLevel3 26 4" xfId="16181" xr:uid="{00000000-0005-0000-0000-000012400000}"/>
    <cellStyle name="SAPBEXHLevel3 26 5" xfId="16182" xr:uid="{00000000-0005-0000-0000-000013400000}"/>
    <cellStyle name="SAPBEXHLevel3 26 6" xfId="16183" xr:uid="{00000000-0005-0000-0000-000014400000}"/>
    <cellStyle name="SAPBEXHLevel3 27" xfId="16184" xr:uid="{00000000-0005-0000-0000-000015400000}"/>
    <cellStyle name="SAPBEXHLevel3 27 2" xfId="16185" xr:uid="{00000000-0005-0000-0000-000016400000}"/>
    <cellStyle name="SAPBEXHLevel3 27 3" xfId="16186" xr:uid="{00000000-0005-0000-0000-000017400000}"/>
    <cellStyle name="SAPBEXHLevel3 27 4" xfId="16187" xr:uid="{00000000-0005-0000-0000-000018400000}"/>
    <cellStyle name="SAPBEXHLevel3 27 5" xfId="16188" xr:uid="{00000000-0005-0000-0000-000019400000}"/>
    <cellStyle name="SAPBEXHLevel3 27 6" xfId="16189" xr:uid="{00000000-0005-0000-0000-00001A400000}"/>
    <cellStyle name="SAPBEXHLevel3 28" xfId="16190" xr:uid="{00000000-0005-0000-0000-00001B400000}"/>
    <cellStyle name="SAPBEXHLevel3 28 2" xfId="16191" xr:uid="{00000000-0005-0000-0000-00001C400000}"/>
    <cellStyle name="SAPBEXHLevel3 28 3" xfId="16192" xr:uid="{00000000-0005-0000-0000-00001D400000}"/>
    <cellStyle name="SAPBEXHLevel3 28 4" xfId="16193" xr:uid="{00000000-0005-0000-0000-00001E400000}"/>
    <cellStyle name="SAPBEXHLevel3 28 5" xfId="16194" xr:uid="{00000000-0005-0000-0000-00001F400000}"/>
    <cellStyle name="SAPBEXHLevel3 28 6" xfId="16195" xr:uid="{00000000-0005-0000-0000-000020400000}"/>
    <cellStyle name="SAPBEXHLevel3 29" xfId="16196" xr:uid="{00000000-0005-0000-0000-000021400000}"/>
    <cellStyle name="SAPBEXHLevel3 29 2" xfId="16197" xr:uid="{00000000-0005-0000-0000-000022400000}"/>
    <cellStyle name="SAPBEXHLevel3 29 3" xfId="16198" xr:uid="{00000000-0005-0000-0000-000023400000}"/>
    <cellStyle name="SAPBEXHLevel3 29 4" xfId="16199" xr:uid="{00000000-0005-0000-0000-000024400000}"/>
    <cellStyle name="SAPBEXHLevel3 29 5" xfId="16200" xr:uid="{00000000-0005-0000-0000-000025400000}"/>
    <cellStyle name="SAPBEXHLevel3 29 6" xfId="16201" xr:uid="{00000000-0005-0000-0000-000026400000}"/>
    <cellStyle name="SAPBEXHLevel3 3" xfId="16202" xr:uid="{00000000-0005-0000-0000-000027400000}"/>
    <cellStyle name="SAPBEXHLevel3 3 10" xfId="16203" xr:uid="{00000000-0005-0000-0000-000028400000}"/>
    <cellStyle name="SAPBEXHLevel3 3 11" xfId="16204" xr:uid="{00000000-0005-0000-0000-000029400000}"/>
    <cellStyle name="SAPBEXHLevel3 3 12" xfId="16205" xr:uid="{00000000-0005-0000-0000-00002A400000}"/>
    <cellStyle name="SAPBEXHLevel3 3 2" xfId="16206" xr:uid="{00000000-0005-0000-0000-00002B400000}"/>
    <cellStyle name="SAPBEXHLevel3 3 2 2" xfId="16207" xr:uid="{00000000-0005-0000-0000-00002C400000}"/>
    <cellStyle name="SAPBEXHLevel3 3 2 2 2" xfId="16208" xr:uid="{00000000-0005-0000-0000-00002D400000}"/>
    <cellStyle name="SAPBEXHLevel3 3 2 2 3" xfId="16209" xr:uid="{00000000-0005-0000-0000-00002E400000}"/>
    <cellStyle name="SAPBEXHLevel3 3 2 2 4" xfId="16210" xr:uid="{00000000-0005-0000-0000-00002F400000}"/>
    <cellStyle name="SAPBEXHLevel3 3 2 2 5" xfId="16211" xr:uid="{00000000-0005-0000-0000-000030400000}"/>
    <cellStyle name="SAPBEXHLevel3 3 2 2 6" xfId="16212" xr:uid="{00000000-0005-0000-0000-000031400000}"/>
    <cellStyle name="SAPBEXHLevel3 3 2 3" xfId="16213" xr:uid="{00000000-0005-0000-0000-000032400000}"/>
    <cellStyle name="SAPBEXHLevel3 3 2 3 2" xfId="16214" xr:uid="{00000000-0005-0000-0000-000033400000}"/>
    <cellStyle name="SAPBEXHLevel3 3 2 3 3" xfId="16215" xr:uid="{00000000-0005-0000-0000-000034400000}"/>
    <cellStyle name="SAPBEXHLevel3 3 2 3 4" xfId="16216" xr:uid="{00000000-0005-0000-0000-000035400000}"/>
    <cellStyle name="SAPBEXHLevel3 3 2 3 5" xfId="16217" xr:uid="{00000000-0005-0000-0000-000036400000}"/>
    <cellStyle name="SAPBEXHLevel3 3 2 3 6" xfId="16218" xr:uid="{00000000-0005-0000-0000-000037400000}"/>
    <cellStyle name="SAPBEXHLevel3 3 2 4" xfId="16219" xr:uid="{00000000-0005-0000-0000-000038400000}"/>
    <cellStyle name="SAPBEXHLevel3 3 2 4 2" xfId="16220" xr:uid="{00000000-0005-0000-0000-000039400000}"/>
    <cellStyle name="SAPBEXHLevel3 3 2 4 3" xfId="16221" xr:uid="{00000000-0005-0000-0000-00003A400000}"/>
    <cellStyle name="SAPBEXHLevel3 3 2 4 4" xfId="16222" xr:uid="{00000000-0005-0000-0000-00003B400000}"/>
    <cellStyle name="SAPBEXHLevel3 3 2 4 5" xfId="16223" xr:uid="{00000000-0005-0000-0000-00003C400000}"/>
    <cellStyle name="SAPBEXHLevel3 3 2 4 6" xfId="16224" xr:uid="{00000000-0005-0000-0000-00003D400000}"/>
    <cellStyle name="SAPBEXHLevel3 3 2 5" xfId="16225" xr:uid="{00000000-0005-0000-0000-00003E400000}"/>
    <cellStyle name="SAPBEXHLevel3 3 2 5 2" xfId="16226" xr:uid="{00000000-0005-0000-0000-00003F400000}"/>
    <cellStyle name="SAPBEXHLevel3 3 2 5 3" xfId="16227" xr:uid="{00000000-0005-0000-0000-000040400000}"/>
    <cellStyle name="SAPBEXHLevel3 3 2 5 4" xfId="16228" xr:uid="{00000000-0005-0000-0000-000041400000}"/>
    <cellStyle name="SAPBEXHLevel3 3 2 5 5" xfId="16229" xr:uid="{00000000-0005-0000-0000-000042400000}"/>
    <cellStyle name="SAPBEXHLevel3 3 2 5 6" xfId="16230" xr:uid="{00000000-0005-0000-0000-000043400000}"/>
    <cellStyle name="SAPBEXHLevel3 3 2 6" xfId="16231" xr:uid="{00000000-0005-0000-0000-000044400000}"/>
    <cellStyle name="SAPBEXHLevel3 3 2 7" xfId="16232" xr:uid="{00000000-0005-0000-0000-000045400000}"/>
    <cellStyle name="SAPBEXHLevel3 3 2 8" xfId="16233" xr:uid="{00000000-0005-0000-0000-000046400000}"/>
    <cellStyle name="SAPBEXHLevel3 3 3" xfId="16234" xr:uid="{00000000-0005-0000-0000-000047400000}"/>
    <cellStyle name="SAPBEXHLevel3 3 3 2" xfId="16235" xr:uid="{00000000-0005-0000-0000-000048400000}"/>
    <cellStyle name="SAPBEXHLevel3 3 3 3" xfId="16236" xr:uid="{00000000-0005-0000-0000-000049400000}"/>
    <cellStyle name="SAPBEXHLevel3 3 3 4" xfId="16237" xr:uid="{00000000-0005-0000-0000-00004A400000}"/>
    <cellStyle name="SAPBEXHLevel3 3 3 5" xfId="16238" xr:uid="{00000000-0005-0000-0000-00004B400000}"/>
    <cellStyle name="SAPBEXHLevel3 3 3 6" xfId="16239" xr:uid="{00000000-0005-0000-0000-00004C400000}"/>
    <cellStyle name="SAPBEXHLevel3 3 4" xfId="16240" xr:uid="{00000000-0005-0000-0000-00004D400000}"/>
    <cellStyle name="SAPBEXHLevel3 3 4 2" xfId="16241" xr:uid="{00000000-0005-0000-0000-00004E400000}"/>
    <cellStyle name="SAPBEXHLevel3 3 4 3" xfId="16242" xr:uid="{00000000-0005-0000-0000-00004F400000}"/>
    <cellStyle name="SAPBEXHLevel3 3 4 4" xfId="16243" xr:uid="{00000000-0005-0000-0000-000050400000}"/>
    <cellStyle name="SAPBEXHLevel3 3 4 5" xfId="16244" xr:uid="{00000000-0005-0000-0000-000051400000}"/>
    <cellStyle name="SAPBEXHLevel3 3 4 6" xfId="16245" xr:uid="{00000000-0005-0000-0000-000052400000}"/>
    <cellStyle name="SAPBEXHLevel3 3 5" xfId="16246" xr:uid="{00000000-0005-0000-0000-000053400000}"/>
    <cellStyle name="SAPBEXHLevel3 3 5 2" xfId="16247" xr:uid="{00000000-0005-0000-0000-000054400000}"/>
    <cellStyle name="SAPBEXHLevel3 3 5 3" xfId="16248" xr:uid="{00000000-0005-0000-0000-000055400000}"/>
    <cellStyle name="SAPBEXHLevel3 3 5 4" xfId="16249" xr:uid="{00000000-0005-0000-0000-000056400000}"/>
    <cellStyle name="SAPBEXHLevel3 3 6" xfId="16250" xr:uid="{00000000-0005-0000-0000-000057400000}"/>
    <cellStyle name="SAPBEXHLevel3 3 6 2" xfId="16251" xr:uid="{00000000-0005-0000-0000-000058400000}"/>
    <cellStyle name="SAPBEXHLevel3 3 6 3" xfId="16252" xr:uid="{00000000-0005-0000-0000-000059400000}"/>
    <cellStyle name="SAPBEXHLevel3 3 6 4" xfId="16253" xr:uid="{00000000-0005-0000-0000-00005A400000}"/>
    <cellStyle name="SAPBEXHLevel3 3 7" xfId="16254" xr:uid="{00000000-0005-0000-0000-00005B400000}"/>
    <cellStyle name="SAPBEXHLevel3 3 7 2" xfId="16255" xr:uid="{00000000-0005-0000-0000-00005C400000}"/>
    <cellStyle name="SAPBEXHLevel3 3 7 3" xfId="16256" xr:uid="{00000000-0005-0000-0000-00005D400000}"/>
    <cellStyle name="SAPBEXHLevel3 3 7 4" xfId="16257" xr:uid="{00000000-0005-0000-0000-00005E400000}"/>
    <cellStyle name="SAPBEXHLevel3 3 8" xfId="16258" xr:uid="{00000000-0005-0000-0000-00005F400000}"/>
    <cellStyle name="SAPBEXHLevel3 3 9" xfId="16259" xr:uid="{00000000-0005-0000-0000-000060400000}"/>
    <cellStyle name="SAPBEXHLevel3 30" xfId="16260" xr:uid="{00000000-0005-0000-0000-000061400000}"/>
    <cellStyle name="SAPBEXHLevel3 30 2" xfId="16261" xr:uid="{00000000-0005-0000-0000-000062400000}"/>
    <cellStyle name="SAPBEXHLevel3 30 3" xfId="16262" xr:uid="{00000000-0005-0000-0000-000063400000}"/>
    <cellStyle name="SAPBEXHLevel3 30 4" xfId="16263" xr:uid="{00000000-0005-0000-0000-000064400000}"/>
    <cellStyle name="SAPBEXHLevel3 30 5" xfId="16264" xr:uid="{00000000-0005-0000-0000-000065400000}"/>
    <cellStyle name="SAPBEXHLevel3 30 6" xfId="16265" xr:uid="{00000000-0005-0000-0000-000066400000}"/>
    <cellStyle name="SAPBEXHLevel3 31" xfId="16266" xr:uid="{00000000-0005-0000-0000-000067400000}"/>
    <cellStyle name="SAPBEXHLevel3 31 2" xfId="16267" xr:uid="{00000000-0005-0000-0000-000068400000}"/>
    <cellStyle name="SAPBEXHLevel3 31 3" xfId="16268" xr:uid="{00000000-0005-0000-0000-000069400000}"/>
    <cellStyle name="SAPBEXHLevel3 31 4" xfId="16269" xr:uid="{00000000-0005-0000-0000-00006A400000}"/>
    <cellStyle name="SAPBEXHLevel3 31 5" xfId="16270" xr:uid="{00000000-0005-0000-0000-00006B400000}"/>
    <cellStyle name="SAPBEXHLevel3 31 6" xfId="16271" xr:uid="{00000000-0005-0000-0000-00006C400000}"/>
    <cellStyle name="SAPBEXHLevel3 32" xfId="16272" xr:uid="{00000000-0005-0000-0000-00006D400000}"/>
    <cellStyle name="SAPBEXHLevel3 32 2" xfId="16273" xr:uid="{00000000-0005-0000-0000-00006E400000}"/>
    <cellStyle name="SAPBEXHLevel3 32 3" xfId="16274" xr:uid="{00000000-0005-0000-0000-00006F400000}"/>
    <cellStyle name="SAPBEXHLevel3 32 4" xfId="16275" xr:uid="{00000000-0005-0000-0000-000070400000}"/>
    <cellStyle name="SAPBEXHLevel3 32 5" xfId="16276" xr:uid="{00000000-0005-0000-0000-000071400000}"/>
    <cellStyle name="SAPBEXHLevel3 32 6" xfId="16277" xr:uid="{00000000-0005-0000-0000-000072400000}"/>
    <cellStyle name="SAPBEXHLevel3 33" xfId="16278" xr:uid="{00000000-0005-0000-0000-000073400000}"/>
    <cellStyle name="SAPBEXHLevel3 34" xfId="16279" xr:uid="{00000000-0005-0000-0000-000074400000}"/>
    <cellStyle name="SAPBEXHLevel3 35" xfId="16280" xr:uid="{00000000-0005-0000-0000-000075400000}"/>
    <cellStyle name="SAPBEXHLevel3 36" xfId="27809" xr:uid="{00000000-0005-0000-0000-000076400000}"/>
    <cellStyle name="SAPBEXHLevel3 37" xfId="27928" xr:uid="{00000000-0005-0000-0000-000077400000}"/>
    <cellStyle name="SAPBEXHLevel3 38" xfId="27985" xr:uid="{00000000-0005-0000-0000-000078400000}"/>
    <cellStyle name="SAPBEXHLevel3 39" xfId="28028" xr:uid="{00000000-0005-0000-0000-000079400000}"/>
    <cellStyle name="SAPBEXHLevel3 4" xfId="16281" xr:uid="{00000000-0005-0000-0000-00007A400000}"/>
    <cellStyle name="SAPBEXHLevel3 4 2" xfId="16282" xr:uid="{00000000-0005-0000-0000-00007B400000}"/>
    <cellStyle name="SAPBEXHLevel3 4 3" xfId="16283" xr:uid="{00000000-0005-0000-0000-00007C400000}"/>
    <cellStyle name="SAPBEXHLevel3 4 4" xfId="16284" xr:uid="{00000000-0005-0000-0000-00007D400000}"/>
    <cellStyle name="SAPBEXHLevel3 4 5" xfId="16285" xr:uid="{00000000-0005-0000-0000-00007E400000}"/>
    <cellStyle name="SAPBEXHLevel3 4 6" xfId="16286" xr:uid="{00000000-0005-0000-0000-00007F400000}"/>
    <cellStyle name="SAPBEXHLevel3 40" xfId="28161" xr:uid="{00000000-0005-0000-0000-000080400000}"/>
    <cellStyle name="SAPBEXHLevel3 5" xfId="16287" xr:uid="{00000000-0005-0000-0000-000081400000}"/>
    <cellStyle name="SAPBEXHLevel3 5 2" xfId="16288" xr:uid="{00000000-0005-0000-0000-000082400000}"/>
    <cellStyle name="SAPBEXHLevel3 5 3" xfId="16289" xr:uid="{00000000-0005-0000-0000-000083400000}"/>
    <cellStyle name="SAPBEXHLevel3 5 4" xfId="16290" xr:uid="{00000000-0005-0000-0000-000084400000}"/>
    <cellStyle name="SAPBEXHLevel3 5 5" xfId="16291" xr:uid="{00000000-0005-0000-0000-000085400000}"/>
    <cellStyle name="SAPBEXHLevel3 5 6" xfId="16292" xr:uid="{00000000-0005-0000-0000-000086400000}"/>
    <cellStyle name="SAPBEXHLevel3 6" xfId="16293" xr:uid="{00000000-0005-0000-0000-000087400000}"/>
    <cellStyle name="SAPBEXHLevel3 6 10" xfId="16294" xr:uid="{00000000-0005-0000-0000-000088400000}"/>
    <cellStyle name="SAPBEXHLevel3 6 2" xfId="16295" xr:uid="{00000000-0005-0000-0000-000089400000}"/>
    <cellStyle name="SAPBEXHLevel3 6 2 2" xfId="16296" xr:uid="{00000000-0005-0000-0000-00008A400000}"/>
    <cellStyle name="SAPBEXHLevel3 6 2 3" xfId="16297" xr:uid="{00000000-0005-0000-0000-00008B400000}"/>
    <cellStyle name="SAPBEXHLevel3 6 2 4" xfId="16298" xr:uid="{00000000-0005-0000-0000-00008C400000}"/>
    <cellStyle name="SAPBEXHLevel3 6 3" xfId="16299" xr:uid="{00000000-0005-0000-0000-00008D400000}"/>
    <cellStyle name="SAPBEXHLevel3 6 3 2" xfId="16300" xr:uid="{00000000-0005-0000-0000-00008E400000}"/>
    <cellStyle name="SAPBEXHLevel3 6 3 3" xfId="16301" xr:uid="{00000000-0005-0000-0000-00008F400000}"/>
    <cellStyle name="SAPBEXHLevel3 6 3 4" xfId="16302" xr:uid="{00000000-0005-0000-0000-000090400000}"/>
    <cellStyle name="SAPBEXHLevel3 6 4" xfId="16303" xr:uid="{00000000-0005-0000-0000-000091400000}"/>
    <cellStyle name="SAPBEXHLevel3 6 4 2" xfId="16304" xr:uid="{00000000-0005-0000-0000-000092400000}"/>
    <cellStyle name="SAPBEXHLevel3 6 4 3" xfId="16305" xr:uid="{00000000-0005-0000-0000-000093400000}"/>
    <cellStyle name="SAPBEXHLevel3 6 4 4" xfId="16306" xr:uid="{00000000-0005-0000-0000-000094400000}"/>
    <cellStyle name="SAPBEXHLevel3 6 5" xfId="16307" xr:uid="{00000000-0005-0000-0000-000095400000}"/>
    <cellStyle name="SAPBEXHLevel3 6 5 2" xfId="16308" xr:uid="{00000000-0005-0000-0000-000096400000}"/>
    <cellStyle name="SAPBEXHLevel3 6 5 3" xfId="16309" xr:uid="{00000000-0005-0000-0000-000097400000}"/>
    <cellStyle name="SAPBEXHLevel3 6 5 4" xfId="16310" xr:uid="{00000000-0005-0000-0000-000098400000}"/>
    <cellStyle name="SAPBEXHLevel3 6 6" xfId="16311" xr:uid="{00000000-0005-0000-0000-000099400000}"/>
    <cellStyle name="SAPBEXHLevel3 6 7" xfId="16312" xr:uid="{00000000-0005-0000-0000-00009A400000}"/>
    <cellStyle name="SAPBEXHLevel3 6 8" xfId="16313" xr:uid="{00000000-0005-0000-0000-00009B400000}"/>
    <cellStyle name="SAPBEXHLevel3 6 9" xfId="16314" xr:uid="{00000000-0005-0000-0000-00009C400000}"/>
    <cellStyle name="SAPBEXHLevel3 7" xfId="16315" xr:uid="{00000000-0005-0000-0000-00009D400000}"/>
    <cellStyle name="SAPBEXHLevel3 7 10" xfId="16316" xr:uid="{00000000-0005-0000-0000-00009E400000}"/>
    <cellStyle name="SAPBEXHLevel3 7 2" xfId="16317" xr:uid="{00000000-0005-0000-0000-00009F400000}"/>
    <cellStyle name="SAPBEXHLevel3 7 2 2" xfId="16318" xr:uid="{00000000-0005-0000-0000-0000A0400000}"/>
    <cellStyle name="SAPBEXHLevel3 7 2 3" xfId="16319" xr:uid="{00000000-0005-0000-0000-0000A1400000}"/>
    <cellStyle name="SAPBEXHLevel3 7 2 4" xfId="16320" xr:uid="{00000000-0005-0000-0000-0000A2400000}"/>
    <cellStyle name="SAPBEXHLevel3 7 3" xfId="16321" xr:uid="{00000000-0005-0000-0000-0000A3400000}"/>
    <cellStyle name="SAPBEXHLevel3 7 3 2" xfId="16322" xr:uid="{00000000-0005-0000-0000-0000A4400000}"/>
    <cellStyle name="SAPBEXHLevel3 7 3 3" xfId="16323" xr:uid="{00000000-0005-0000-0000-0000A5400000}"/>
    <cellStyle name="SAPBEXHLevel3 7 3 4" xfId="16324" xr:uid="{00000000-0005-0000-0000-0000A6400000}"/>
    <cellStyle name="SAPBEXHLevel3 7 4" xfId="16325" xr:uid="{00000000-0005-0000-0000-0000A7400000}"/>
    <cellStyle name="SAPBEXHLevel3 7 4 2" xfId="16326" xr:uid="{00000000-0005-0000-0000-0000A8400000}"/>
    <cellStyle name="SAPBEXHLevel3 7 4 3" xfId="16327" xr:uid="{00000000-0005-0000-0000-0000A9400000}"/>
    <cellStyle name="SAPBEXHLevel3 7 4 4" xfId="16328" xr:uid="{00000000-0005-0000-0000-0000AA400000}"/>
    <cellStyle name="SAPBEXHLevel3 7 5" xfId="16329" xr:uid="{00000000-0005-0000-0000-0000AB400000}"/>
    <cellStyle name="SAPBEXHLevel3 7 5 2" xfId="16330" xr:uid="{00000000-0005-0000-0000-0000AC400000}"/>
    <cellStyle name="SAPBEXHLevel3 7 5 3" xfId="16331" xr:uid="{00000000-0005-0000-0000-0000AD400000}"/>
    <cellStyle name="SAPBEXHLevel3 7 5 4" xfId="16332" xr:uid="{00000000-0005-0000-0000-0000AE400000}"/>
    <cellStyle name="SAPBEXHLevel3 7 6" xfId="16333" xr:uid="{00000000-0005-0000-0000-0000AF400000}"/>
    <cellStyle name="SAPBEXHLevel3 7 7" xfId="16334" xr:uid="{00000000-0005-0000-0000-0000B0400000}"/>
    <cellStyle name="SAPBEXHLevel3 7 8" xfId="16335" xr:uid="{00000000-0005-0000-0000-0000B1400000}"/>
    <cellStyle name="SAPBEXHLevel3 7 9" xfId="16336" xr:uid="{00000000-0005-0000-0000-0000B2400000}"/>
    <cellStyle name="SAPBEXHLevel3 8" xfId="16337" xr:uid="{00000000-0005-0000-0000-0000B3400000}"/>
    <cellStyle name="SAPBEXHLevel3 8 2" xfId="16338" xr:uid="{00000000-0005-0000-0000-0000B4400000}"/>
    <cellStyle name="SAPBEXHLevel3 8 3" xfId="16339" xr:uid="{00000000-0005-0000-0000-0000B5400000}"/>
    <cellStyle name="SAPBEXHLevel3 8 4" xfId="16340" xr:uid="{00000000-0005-0000-0000-0000B6400000}"/>
    <cellStyle name="SAPBEXHLevel3 8 5" xfId="16341" xr:uid="{00000000-0005-0000-0000-0000B7400000}"/>
    <cellStyle name="SAPBEXHLevel3 8 6" xfId="16342" xr:uid="{00000000-0005-0000-0000-0000B8400000}"/>
    <cellStyle name="SAPBEXHLevel3 9" xfId="16343" xr:uid="{00000000-0005-0000-0000-0000B9400000}"/>
    <cellStyle name="SAPBEXHLevel3 9 2" xfId="16344" xr:uid="{00000000-0005-0000-0000-0000BA400000}"/>
    <cellStyle name="SAPBEXHLevel3 9 3" xfId="16345" xr:uid="{00000000-0005-0000-0000-0000BB400000}"/>
    <cellStyle name="SAPBEXHLevel3 9 4" xfId="16346" xr:uid="{00000000-0005-0000-0000-0000BC400000}"/>
    <cellStyle name="SAPBEXHLevel3 9 5" xfId="16347" xr:uid="{00000000-0005-0000-0000-0000BD400000}"/>
    <cellStyle name="SAPBEXHLevel3 9 6" xfId="16348" xr:uid="{00000000-0005-0000-0000-0000BE400000}"/>
    <cellStyle name="SAPBEXHLevel3_2009 12 09 Cash flow (2009)" xfId="16349" xr:uid="{00000000-0005-0000-0000-0000BF400000}"/>
    <cellStyle name="SAPBEXHLevel3X" xfId="16350" xr:uid="{00000000-0005-0000-0000-0000C0400000}"/>
    <cellStyle name="SAPBEXHLevel3X 10" xfId="16351" xr:uid="{00000000-0005-0000-0000-0000C1400000}"/>
    <cellStyle name="SAPBEXHLevel3X 10 2" xfId="16352" xr:uid="{00000000-0005-0000-0000-0000C2400000}"/>
    <cellStyle name="SAPBEXHLevel3X 10 3" xfId="16353" xr:uid="{00000000-0005-0000-0000-0000C3400000}"/>
    <cellStyle name="SAPBEXHLevel3X 10 4" xfId="16354" xr:uid="{00000000-0005-0000-0000-0000C4400000}"/>
    <cellStyle name="SAPBEXHLevel3X 10 5" xfId="16355" xr:uid="{00000000-0005-0000-0000-0000C5400000}"/>
    <cellStyle name="SAPBEXHLevel3X 10 6" xfId="16356" xr:uid="{00000000-0005-0000-0000-0000C6400000}"/>
    <cellStyle name="SAPBEXHLevel3X 100" xfId="16357" xr:uid="{00000000-0005-0000-0000-0000C7400000}"/>
    <cellStyle name="SAPBEXHLevel3X 101" xfId="16358" xr:uid="{00000000-0005-0000-0000-0000C8400000}"/>
    <cellStyle name="SAPBEXHLevel3X 102" xfId="16359" xr:uid="{00000000-0005-0000-0000-0000C9400000}"/>
    <cellStyle name="SAPBEXHLevel3X 103" xfId="16360" xr:uid="{00000000-0005-0000-0000-0000CA400000}"/>
    <cellStyle name="SAPBEXHLevel3X 104" xfId="16361" xr:uid="{00000000-0005-0000-0000-0000CB400000}"/>
    <cellStyle name="SAPBEXHLevel3X 105" xfId="16362" xr:uid="{00000000-0005-0000-0000-0000CC400000}"/>
    <cellStyle name="SAPBEXHLevel3X 106" xfId="16363" xr:uid="{00000000-0005-0000-0000-0000CD400000}"/>
    <cellStyle name="SAPBEXHLevel3X 107" xfId="16364" xr:uid="{00000000-0005-0000-0000-0000CE400000}"/>
    <cellStyle name="SAPBEXHLevel3X 108" xfId="16365" xr:uid="{00000000-0005-0000-0000-0000CF400000}"/>
    <cellStyle name="SAPBEXHLevel3X 109" xfId="16366" xr:uid="{00000000-0005-0000-0000-0000D0400000}"/>
    <cellStyle name="SAPBEXHLevel3X 11" xfId="16367" xr:uid="{00000000-0005-0000-0000-0000D1400000}"/>
    <cellStyle name="SAPBEXHLevel3X 11 2" xfId="16368" xr:uid="{00000000-0005-0000-0000-0000D2400000}"/>
    <cellStyle name="SAPBEXHLevel3X 11 3" xfId="16369" xr:uid="{00000000-0005-0000-0000-0000D3400000}"/>
    <cellStyle name="SAPBEXHLevel3X 11 4" xfId="16370" xr:uid="{00000000-0005-0000-0000-0000D4400000}"/>
    <cellStyle name="SAPBEXHLevel3X 11 5" xfId="16371" xr:uid="{00000000-0005-0000-0000-0000D5400000}"/>
    <cellStyle name="SAPBEXHLevel3X 11 6" xfId="16372" xr:uid="{00000000-0005-0000-0000-0000D6400000}"/>
    <cellStyle name="SAPBEXHLevel3X 11 7" xfId="27862" xr:uid="{00000000-0005-0000-0000-0000D7400000}"/>
    <cellStyle name="SAPBEXHLevel3X 110" xfId="16373" xr:uid="{00000000-0005-0000-0000-0000D8400000}"/>
    <cellStyle name="SAPBEXHLevel3X 111" xfId="16374" xr:uid="{00000000-0005-0000-0000-0000D9400000}"/>
    <cellStyle name="SAPBEXHLevel3X 112" xfId="16375" xr:uid="{00000000-0005-0000-0000-0000DA400000}"/>
    <cellStyle name="SAPBEXHLevel3X 113" xfId="16376" xr:uid="{00000000-0005-0000-0000-0000DB400000}"/>
    <cellStyle name="SAPBEXHLevel3X 114" xfId="16377" xr:uid="{00000000-0005-0000-0000-0000DC400000}"/>
    <cellStyle name="SAPBEXHLevel3X 115" xfId="16378" xr:uid="{00000000-0005-0000-0000-0000DD400000}"/>
    <cellStyle name="SAPBEXHLevel3X 116" xfId="16379" xr:uid="{00000000-0005-0000-0000-0000DE400000}"/>
    <cellStyle name="SAPBEXHLevel3X 117" xfId="16380" xr:uid="{00000000-0005-0000-0000-0000DF400000}"/>
    <cellStyle name="SAPBEXHLevel3X 118" xfId="16381" xr:uid="{00000000-0005-0000-0000-0000E0400000}"/>
    <cellStyle name="SAPBEXHLevel3X 119" xfId="16382" xr:uid="{00000000-0005-0000-0000-0000E1400000}"/>
    <cellStyle name="SAPBEXHLevel3X 12" xfId="16383" xr:uid="{00000000-0005-0000-0000-0000E2400000}"/>
    <cellStyle name="SAPBEXHLevel3X 12 2" xfId="16384" xr:uid="{00000000-0005-0000-0000-0000E3400000}"/>
    <cellStyle name="SAPBEXHLevel3X 12 3" xfId="16385" xr:uid="{00000000-0005-0000-0000-0000E4400000}"/>
    <cellStyle name="SAPBEXHLevel3X 12 4" xfId="16386" xr:uid="{00000000-0005-0000-0000-0000E5400000}"/>
    <cellStyle name="SAPBEXHLevel3X 12 5" xfId="16387" xr:uid="{00000000-0005-0000-0000-0000E6400000}"/>
    <cellStyle name="SAPBEXHLevel3X 12 6" xfId="16388" xr:uid="{00000000-0005-0000-0000-0000E7400000}"/>
    <cellStyle name="SAPBEXHLevel3X 120" xfId="16389" xr:uid="{00000000-0005-0000-0000-0000E8400000}"/>
    <cellStyle name="SAPBEXHLevel3X 121" xfId="16390" xr:uid="{00000000-0005-0000-0000-0000E9400000}"/>
    <cellStyle name="SAPBEXHLevel3X 122" xfId="16391" xr:uid="{00000000-0005-0000-0000-0000EA400000}"/>
    <cellStyle name="SAPBEXHLevel3X 123" xfId="16392" xr:uid="{00000000-0005-0000-0000-0000EB400000}"/>
    <cellStyle name="SAPBEXHLevel3X 124" xfId="16393" xr:uid="{00000000-0005-0000-0000-0000EC400000}"/>
    <cellStyle name="SAPBEXHLevel3X 125" xfId="16394" xr:uid="{00000000-0005-0000-0000-0000ED400000}"/>
    <cellStyle name="SAPBEXHLevel3X 126" xfId="16395" xr:uid="{00000000-0005-0000-0000-0000EE400000}"/>
    <cellStyle name="SAPBEXHLevel3X 127" xfId="16396" xr:uid="{00000000-0005-0000-0000-0000EF400000}"/>
    <cellStyle name="SAPBEXHLevel3X 128" xfId="16397" xr:uid="{00000000-0005-0000-0000-0000F0400000}"/>
    <cellStyle name="SAPBEXHLevel3X 129" xfId="16398" xr:uid="{00000000-0005-0000-0000-0000F1400000}"/>
    <cellStyle name="SAPBEXHLevel3X 13" xfId="16399" xr:uid="{00000000-0005-0000-0000-0000F2400000}"/>
    <cellStyle name="SAPBEXHLevel3X 13 2" xfId="16400" xr:uid="{00000000-0005-0000-0000-0000F3400000}"/>
    <cellStyle name="SAPBEXHLevel3X 13 3" xfId="16401" xr:uid="{00000000-0005-0000-0000-0000F4400000}"/>
    <cellStyle name="SAPBEXHLevel3X 13 4" xfId="16402" xr:uid="{00000000-0005-0000-0000-0000F5400000}"/>
    <cellStyle name="SAPBEXHLevel3X 13 5" xfId="16403" xr:uid="{00000000-0005-0000-0000-0000F6400000}"/>
    <cellStyle name="SAPBEXHLevel3X 13 6" xfId="16404" xr:uid="{00000000-0005-0000-0000-0000F7400000}"/>
    <cellStyle name="SAPBEXHLevel3X 130" xfId="16405" xr:uid="{00000000-0005-0000-0000-0000F8400000}"/>
    <cellStyle name="SAPBEXHLevel3X 131" xfId="16406" xr:uid="{00000000-0005-0000-0000-0000F9400000}"/>
    <cellStyle name="SAPBEXHLevel3X 132" xfId="16407" xr:uid="{00000000-0005-0000-0000-0000FA400000}"/>
    <cellStyle name="SAPBEXHLevel3X 133" xfId="16408" xr:uid="{00000000-0005-0000-0000-0000FB400000}"/>
    <cellStyle name="SAPBEXHLevel3X 134" xfId="16409" xr:uid="{00000000-0005-0000-0000-0000FC400000}"/>
    <cellStyle name="SAPBEXHLevel3X 135" xfId="16410" xr:uid="{00000000-0005-0000-0000-0000FD400000}"/>
    <cellStyle name="SAPBEXHLevel3X 136" xfId="16411" xr:uid="{00000000-0005-0000-0000-0000FE400000}"/>
    <cellStyle name="SAPBEXHLevel3X 137" xfId="16412" xr:uid="{00000000-0005-0000-0000-0000FF400000}"/>
    <cellStyle name="SAPBEXHLevel3X 138" xfId="16413" xr:uid="{00000000-0005-0000-0000-000000410000}"/>
    <cellStyle name="SAPBEXHLevel3X 139" xfId="16414" xr:uid="{00000000-0005-0000-0000-000001410000}"/>
    <cellStyle name="SAPBEXHLevel3X 14" xfId="16415" xr:uid="{00000000-0005-0000-0000-000002410000}"/>
    <cellStyle name="SAPBEXHLevel3X 14 2" xfId="16416" xr:uid="{00000000-0005-0000-0000-000003410000}"/>
    <cellStyle name="SAPBEXHLevel3X 14 3" xfId="16417" xr:uid="{00000000-0005-0000-0000-000004410000}"/>
    <cellStyle name="SAPBEXHLevel3X 14 4" xfId="16418" xr:uid="{00000000-0005-0000-0000-000005410000}"/>
    <cellStyle name="SAPBEXHLevel3X 14 5" xfId="16419" xr:uid="{00000000-0005-0000-0000-000006410000}"/>
    <cellStyle name="SAPBEXHLevel3X 14 6" xfId="16420" xr:uid="{00000000-0005-0000-0000-000007410000}"/>
    <cellStyle name="SAPBEXHLevel3X 140" xfId="16421" xr:uid="{00000000-0005-0000-0000-000008410000}"/>
    <cellStyle name="SAPBEXHLevel3X 141" xfId="16422" xr:uid="{00000000-0005-0000-0000-000009410000}"/>
    <cellStyle name="SAPBEXHLevel3X 142" xfId="16423" xr:uid="{00000000-0005-0000-0000-00000A410000}"/>
    <cellStyle name="SAPBEXHLevel3X 143" xfId="16424" xr:uid="{00000000-0005-0000-0000-00000B410000}"/>
    <cellStyle name="SAPBEXHLevel3X 144" xfId="16425" xr:uid="{00000000-0005-0000-0000-00000C410000}"/>
    <cellStyle name="SAPBEXHLevel3X 145" xfId="16426" xr:uid="{00000000-0005-0000-0000-00000D410000}"/>
    <cellStyle name="SAPBEXHLevel3X 146" xfId="27808" xr:uid="{00000000-0005-0000-0000-00000E410000}"/>
    <cellStyle name="SAPBEXHLevel3X 147" xfId="27929" xr:uid="{00000000-0005-0000-0000-00000F410000}"/>
    <cellStyle name="SAPBEXHLevel3X 148" xfId="28029" xr:uid="{00000000-0005-0000-0000-000010410000}"/>
    <cellStyle name="SAPBEXHLevel3X 149" xfId="28087" xr:uid="{00000000-0005-0000-0000-000011410000}"/>
    <cellStyle name="SAPBEXHLevel3X 15" xfId="16427" xr:uid="{00000000-0005-0000-0000-000012410000}"/>
    <cellStyle name="SAPBEXHLevel3X 15 2" xfId="16428" xr:uid="{00000000-0005-0000-0000-000013410000}"/>
    <cellStyle name="SAPBEXHLevel3X 15 3" xfId="16429" xr:uid="{00000000-0005-0000-0000-000014410000}"/>
    <cellStyle name="SAPBEXHLevel3X 15 4" xfId="16430" xr:uid="{00000000-0005-0000-0000-000015410000}"/>
    <cellStyle name="SAPBEXHLevel3X 15 5" xfId="16431" xr:uid="{00000000-0005-0000-0000-000016410000}"/>
    <cellStyle name="SAPBEXHLevel3X 15 6" xfId="16432" xr:uid="{00000000-0005-0000-0000-000017410000}"/>
    <cellStyle name="SAPBEXHLevel3X 150" xfId="28162" xr:uid="{00000000-0005-0000-0000-000018410000}"/>
    <cellStyle name="SAPBEXHLevel3X 16" xfId="16433" xr:uid="{00000000-0005-0000-0000-000019410000}"/>
    <cellStyle name="SAPBEXHLevel3X 16 2" xfId="16434" xr:uid="{00000000-0005-0000-0000-00001A410000}"/>
    <cellStyle name="SAPBEXHLevel3X 16 3" xfId="16435" xr:uid="{00000000-0005-0000-0000-00001B410000}"/>
    <cellStyle name="SAPBEXHLevel3X 16 4" xfId="16436" xr:uid="{00000000-0005-0000-0000-00001C410000}"/>
    <cellStyle name="SAPBEXHLevel3X 16 5" xfId="16437" xr:uid="{00000000-0005-0000-0000-00001D410000}"/>
    <cellStyle name="SAPBEXHLevel3X 16 6" xfId="16438" xr:uid="{00000000-0005-0000-0000-00001E410000}"/>
    <cellStyle name="SAPBEXHLevel3X 16 7" xfId="27781" xr:uid="{00000000-0005-0000-0000-00001F410000}"/>
    <cellStyle name="SAPBEXHLevel3X 17" xfId="16439" xr:uid="{00000000-0005-0000-0000-000020410000}"/>
    <cellStyle name="SAPBEXHLevel3X 17 2" xfId="16440" xr:uid="{00000000-0005-0000-0000-000021410000}"/>
    <cellStyle name="SAPBEXHLevel3X 17 3" xfId="16441" xr:uid="{00000000-0005-0000-0000-000022410000}"/>
    <cellStyle name="SAPBEXHLevel3X 17 4" xfId="16442" xr:uid="{00000000-0005-0000-0000-000023410000}"/>
    <cellStyle name="SAPBEXHLevel3X 17 5" xfId="16443" xr:uid="{00000000-0005-0000-0000-000024410000}"/>
    <cellStyle name="SAPBEXHLevel3X 17 6" xfId="16444" xr:uid="{00000000-0005-0000-0000-000025410000}"/>
    <cellStyle name="SAPBEXHLevel3X 18" xfId="16445" xr:uid="{00000000-0005-0000-0000-000026410000}"/>
    <cellStyle name="SAPBEXHLevel3X 18 2" xfId="16446" xr:uid="{00000000-0005-0000-0000-000027410000}"/>
    <cellStyle name="SAPBEXHLevel3X 18 3" xfId="16447" xr:uid="{00000000-0005-0000-0000-000028410000}"/>
    <cellStyle name="SAPBEXHLevel3X 18 4" xfId="16448" xr:uid="{00000000-0005-0000-0000-000029410000}"/>
    <cellStyle name="SAPBEXHLevel3X 18 5" xfId="16449" xr:uid="{00000000-0005-0000-0000-00002A410000}"/>
    <cellStyle name="SAPBEXHLevel3X 18 6" xfId="16450" xr:uid="{00000000-0005-0000-0000-00002B410000}"/>
    <cellStyle name="SAPBEXHLevel3X 19" xfId="16451" xr:uid="{00000000-0005-0000-0000-00002C410000}"/>
    <cellStyle name="SAPBEXHLevel3X 19 2" xfId="16452" xr:uid="{00000000-0005-0000-0000-00002D410000}"/>
    <cellStyle name="SAPBEXHLevel3X 19 3" xfId="16453" xr:uid="{00000000-0005-0000-0000-00002E410000}"/>
    <cellStyle name="SAPBEXHLevel3X 19 4" xfId="16454" xr:uid="{00000000-0005-0000-0000-00002F410000}"/>
    <cellStyle name="SAPBEXHLevel3X 19 5" xfId="16455" xr:uid="{00000000-0005-0000-0000-000030410000}"/>
    <cellStyle name="SAPBEXHLevel3X 19 6" xfId="16456" xr:uid="{00000000-0005-0000-0000-000031410000}"/>
    <cellStyle name="SAPBEXHLevel3X 2" xfId="16457" xr:uid="{00000000-0005-0000-0000-000032410000}"/>
    <cellStyle name="SAPBEXHLevel3X 2 10" xfId="16458" xr:uid="{00000000-0005-0000-0000-000033410000}"/>
    <cellStyle name="SAPBEXHLevel3X 2 11" xfId="16459" xr:uid="{00000000-0005-0000-0000-000034410000}"/>
    <cellStyle name="SAPBEXHLevel3X 2 2" xfId="16460" xr:uid="{00000000-0005-0000-0000-000035410000}"/>
    <cellStyle name="SAPBEXHLevel3X 2 2 2" xfId="16461" xr:uid="{00000000-0005-0000-0000-000036410000}"/>
    <cellStyle name="SAPBEXHLevel3X 2 2 3" xfId="16462" xr:uid="{00000000-0005-0000-0000-000037410000}"/>
    <cellStyle name="SAPBEXHLevel3X 2 2 4" xfId="16463" xr:uid="{00000000-0005-0000-0000-000038410000}"/>
    <cellStyle name="SAPBEXHLevel3X 2 2 5" xfId="16464" xr:uid="{00000000-0005-0000-0000-000039410000}"/>
    <cellStyle name="SAPBEXHLevel3X 2 2 6" xfId="16465" xr:uid="{00000000-0005-0000-0000-00003A410000}"/>
    <cellStyle name="SAPBEXHLevel3X 2 3" xfId="16466" xr:uid="{00000000-0005-0000-0000-00003B410000}"/>
    <cellStyle name="SAPBEXHLevel3X 2 3 2" xfId="16467" xr:uid="{00000000-0005-0000-0000-00003C410000}"/>
    <cellStyle name="SAPBEXHLevel3X 2 3 3" xfId="16468" xr:uid="{00000000-0005-0000-0000-00003D410000}"/>
    <cellStyle name="SAPBEXHLevel3X 2 3 4" xfId="16469" xr:uid="{00000000-0005-0000-0000-00003E410000}"/>
    <cellStyle name="SAPBEXHLevel3X 2 3 5" xfId="16470" xr:uid="{00000000-0005-0000-0000-00003F410000}"/>
    <cellStyle name="SAPBEXHLevel3X 2 3 6" xfId="16471" xr:uid="{00000000-0005-0000-0000-000040410000}"/>
    <cellStyle name="SAPBEXHLevel3X 2 4" xfId="16472" xr:uid="{00000000-0005-0000-0000-000041410000}"/>
    <cellStyle name="SAPBEXHLevel3X 2 4 2" xfId="16473" xr:uid="{00000000-0005-0000-0000-000042410000}"/>
    <cellStyle name="SAPBEXHLevel3X 2 4 3" xfId="16474" xr:uid="{00000000-0005-0000-0000-000043410000}"/>
    <cellStyle name="SAPBEXHLevel3X 2 4 4" xfId="16475" xr:uid="{00000000-0005-0000-0000-000044410000}"/>
    <cellStyle name="SAPBEXHLevel3X 2 4 5" xfId="16476" xr:uid="{00000000-0005-0000-0000-000045410000}"/>
    <cellStyle name="SAPBEXHLevel3X 2 4 6" xfId="16477" xr:uid="{00000000-0005-0000-0000-000046410000}"/>
    <cellStyle name="SAPBEXHLevel3X 2 5" xfId="16478" xr:uid="{00000000-0005-0000-0000-000047410000}"/>
    <cellStyle name="SAPBEXHLevel3X 2 5 2" xfId="16479" xr:uid="{00000000-0005-0000-0000-000048410000}"/>
    <cellStyle name="SAPBEXHLevel3X 2 5 3" xfId="16480" xr:uid="{00000000-0005-0000-0000-000049410000}"/>
    <cellStyle name="SAPBEXHLevel3X 2 5 4" xfId="16481" xr:uid="{00000000-0005-0000-0000-00004A410000}"/>
    <cellStyle name="SAPBEXHLevel3X 2 5 5" xfId="16482" xr:uid="{00000000-0005-0000-0000-00004B410000}"/>
    <cellStyle name="SAPBEXHLevel3X 2 5 6" xfId="16483" xr:uid="{00000000-0005-0000-0000-00004C410000}"/>
    <cellStyle name="SAPBEXHLevel3X 2 6" xfId="16484" xr:uid="{00000000-0005-0000-0000-00004D410000}"/>
    <cellStyle name="SAPBEXHLevel3X 2 6 2" xfId="16485" xr:uid="{00000000-0005-0000-0000-00004E410000}"/>
    <cellStyle name="SAPBEXHLevel3X 2 6 3" xfId="16486" xr:uid="{00000000-0005-0000-0000-00004F410000}"/>
    <cellStyle name="SAPBEXHLevel3X 2 6 4" xfId="16487" xr:uid="{00000000-0005-0000-0000-000050410000}"/>
    <cellStyle name="SAPBEXHLevel3X 2 6 5" xfId="16488" xr:uid="{00000000-0005-0000-0000-000051410000}"/>
    <cellStyle name="SAPBEXHLevel3X 2 6 6" xfId="16489" xr:uid="{00000000-0005-0000-0000-000052410000}"/>
    <cellStyle name="SAPBEXHLevel3X 2 7" xfId="16490" xr:uid="{00000000-0005-0000-0000-000053410000}"/>
    <cellStyle name="SAPBEXHLevel3X 2 8" xfId="16491" xr:uid="{00000000-0005-0000-0000-000054410000}"/>
    <cellStyle name="SAPBEXHLevel3X 2 9" xfId="16492" xr:uid="{00000000-0005-0000-0000-000055410000}"/>
    <cellStyle name="SAPBEXHLevel3X 20" xfId="16493" xr:uid="{00000000-0005-0000-0000-000056410000}"/>
    <cellStyle name="SAPBEXHLevel3X 20 2" xfId="16494" xr:uid="{00000000-0005-0000-0000-000057410000}"/>
    <cellStyle name="SAPBEXHLevel3X 20 3" xfId="16495" xr:uid="{00000000-0005-0000-0000-000058410000}"/>
    <cellStyle name="SAPBEXHLevel3X 20 4" xfId="16496" xr:uid="{00000000-0005-0000-0000-000059410000}"/>
    <cellStyle name="SAPBEXHLevel3X 20 5" xfId="16497" xr:uid="{00000000-0005-0000-0000-00005A410000}"/>
    <cellStyle name="SAPBEXHLevel3X 20 6" xfId="16498" xr:uid="{00000000-0005-0000-0000-00005B410000}"/>
    <cellStyle name="SAPBEXHLevel3X 21" xfId="16499" xr:uid="{00000000-0005-0000-0000-00005C410000}"/>
    <cellStyle name="SAPBEXHLevel3X 21 2" xfId="16500" xr:uid="{00000000-0005-0000-0000-00005D410000}"/>
    <cellStyle name="SAPBEXHLevel3X 21 3" xfId="16501" xr:uid="{00000000-0005-0000-0000-00005E410000}"/>
    <cellStyle name="SAPBEXHLevel3X 21 4" xfId="16502" xr:uid="{00000000-0005-0000-0000-00005F410000}"/>
    <cellStyle name="SAPBEXHLevel3X 21 5" xfId="16503" xr:uid="{00000000-0005-0000-0000-000060410000}"/>
    <cellStyle name="SAPBEXHLevel3X 21 6" xfId="16504" xr:uid="{00000000-0005-0000-0000-000061410000}"/>
    <cellStyle name="SAPBEXHLevel3X 22" xfId="16505" xr:uid="{00000000-0005-0000-0000-000062410000}"/>
    <cellStyle name="SAPBEXHLevel3X 22 2" xfId="16506" xr:uid="{00000000-0005-0000-0000-000063410000}"/>
    <cellStyle name="SAPBEXHLevel3X 22 3" xfId="16507" xr:uid="{00000000-0005-0000-0000-000064410000}"/>
    <cellStyle name="SAPBEXHLevel3X 22 4" xfId="16508" xr:uid="{00000000-0005-0000-0000-000065410000}"/>
    <cellStyle name="SAPBEXHLevel3X 22 5" xfId="16509" xr:uid="{00000000-0005-0000-0000-000066410000}"/>
    <cellStyle name="SAPBEXHLevel3X 22 6" xfId="16510" xr:uid="{00000000-0005-0000-0000-000067410000}"/>
    <cellStyle name="SAPBEXHLevel3X 23" xfId="16511" xr:uid="{00000000-0005-0000-0000-000068410000}"/>
    <cellStyle name="SAPBEXHLevel3X 23 2" xfId="16512" xr:uid="{00000000-0005-0000-0000-000069410000}"/>
    <cellStyle name="SAPBEXHLevel3X 23 3" xfId="16513" xr:uid="{00000000-0005-0000-0000-00006A410000}"/>
    <cellStyle name="SAPBEXHLevel3X 23 4" xfId="16514" xr:uid="{00000000-0005-0000-0000-00006B410000}"/>
    <cellStyle name="SAPBEXHLevel3X 23 5" xfId="16515" xr:uid="{00000000-0005-0000-0000-00006C410000}"/>
    <cellStyle name="SAPBEXHLevel3X 23 6" xfId="16516" xr:uid="{00000000-0005-0000-0000-00006D410000}"/>
    <cellStyle name="SAPBEXHLevel3X 24" xfId="16517" xr:uid="{00000000-0005-0000-0000-00006E410000}"/>
    <cellStyle name="SAPBEXHLevel3X 24 2" xfId="16518" xr:uid="{00000000-0005-0000-0000-00006F410000}"/>
    <cellStyle name="SAPBEXHLevel3X 24 3" xfId="16519" xr:uid="{00000000-0005-0000-0000-000070410000}"/>
    <cellStyle name="SAPBEXHLevel3X 24 4" xfId="16520" xr:uid="{00000000-0005-0000-0000-000071410000}"/>
    <cellStyle name="SAPBEXHLevel3X 24 5" xfId="16521" xr:uid="{00000000-0005-0000-0000-000072410000}"/>
    <cellStyle name="SAPBEXHLevel3X 24 6" xfId="16522" xr:uid="{00000000-0005-0000-0000-000073410000}"/>
    <cellStyle name="SAPBEXHLevel3X 25" xfId="16523" xr:uid="{00000000-0005-0000-0000-000074410000}"/>
    <cellStyle name="SAPBEXHLevel3X 25 2" xfId="16524" xr:uid="{00000000-0005-0000-0000-000075410000}"/>
    <cellStyle name="SAPBEXHLevel3X 25 3" xfId="16525" xr:uid="{00000000-0005-0000-0000-000076410000}"/>
    <cellStyle name="SAPBEXHLevel3X 25 4" xfId="16526" xr:uid="{00000000-0005-0000-0000-000077410000}"/>
    <cellStyle name="SAPBEXHLevel3X 25 5" xfId="16527" xr:uid="{00000000-0005-0000-0000-000078410000}"/>
    <cellStyle name="SAPBEXHLevel3X 25 6" xfId="16528" xr:uid="{00000000-0005-0000-0000-000079410000}"/>
    <cellStyle name="SAPBEXHLevel3X 26" xfId="16529" xr:uid="{00000000-0005-0000-0000-00007A410000}"/>
    <cellStyle name="SAPBEXHLevel3X 26 2" xfId="16530" xr:uid="{00000000-0005-0000-0000-00007B410000}"/>
    <cellStyle name="SAPBEXHLevel3X 26 3" xfId="16531" xr:uid="{00000000-0005-0000-0000-00007C410000}"/>
    <cellStyle name="SAPBEXHLevel3X 26 4" xfId="16532" xr:uid="{00000000-0005-0000-0000-00007D410000}"/>
    <cellStyle name="SAPBEXHLevel3X 26 5" xfId="16533" xr:uid="{00000000-0005-0000-0000-00007E410000}"/>
    <cellStyle name="SAPBEXHLevel3X 26 6" xfId="16534" xr:uid="{00000000-0005-0000-0000-00007F410000}"/>
    <cellStyle name="SAPBEXHLevel3X 27" xfId="16535" xr:uid="{00000000-0005-0000-0000-000080410000}"/>
    <cellStyle name="SAPBEXHLevel3X 27 2" xfId="16536" xr:uid="{00000000-0005-0000-0000-000081410000}"/>
    <cellStyle name="SAPBEXHLevel3X 27 3" xfId="16537" xr:uid="{00000000-0005-0000-0000-000082410000}"/>
    <cellStyle name="SAPBEXHLevel3X 27 4" xfId="16538" xr:uid="{00000000-0005-0000-0000-000083410000}"/>
    <cellStyle name="SAPBEXHLevel3X 27 5" xfId="16539" xr:uid="{00000000-0005-0000-0000-000084410000}"/>
    <cellStyle name="SAPBEXHLevel3X 27 6" xfId="16540" xr:uid="{00000000-0005-0000-0000-000085410000}"/>
    <cellStyle name="SAPBEXHLevel3X 28" xfId="16541" xr:uid="{00000000-0005-0000-0000-000086410000}"/>
    <cellStyle name="SAPBEXHLevel3X 28 2" xfId="16542" xr:uid="{00000000-0005-0000-0000-000087410000}"/>
    <cellStyle name="SAPBEXHLevel3X 28 3" xfId="16543" xr:uid="{00000000-0005-0000-0000-000088410000}"/>
    <cellStyle name="SAPBEXHLevel3X 28 4" xfId="16544" xr:uid="{00000000-0005-0000-0000-000089410000}"/>
    <cellStyle name="SAPBEXHLevel3X 28 5" xfId="16545" xr:uid="{00000000-0005-0000-0000-00008A410000}"/>
    <cellStyle name="SAPBEXHLevel3X 28 6" xfId="16546" xr:uid="{00000000-0005-0000-0000-00008B410000}"/>
    <cellStyle name="SAPBEXHLevel3X 29" xfId="16547" xr:uid="{00000000-0005-0000-0000-00008C410000}"/>
    <cellStyle name="SAPBEXHLevel3X 29 2" xfId="16548" xr:uid="{00000000-0005-0000-0000-00008D410000}"/>
    <cellStyle name="SAPBEXHLevel3X 29 3" xfId="16549" xr:uid="{00000000-0005-0000-0000-00008E410000}"/>
    <cellStyle name="SAPBEXHLevel3X 29 4" xfId="16550" xr:uid="{00000000-0005-0000-0000-00008F410000}"/>
    <cellStyle name="SAPBEXHLevel3X 29 5" xfId="16551" xr:uid="{00000000-0005-0000-0000-000090410000}"/>
    <cellStyle name="SAPBEXHLevel3X 29 6" xfId="16552" xr:uid="{00000000-0005-0000-0000-000091410000}"/>
    <cellStyle name="SAPBEXHLevel3X 3" xfId="16553" xr:uid="{00000000-0005-0000-0000-000092410000}"/>
    <cellStyle name="SAPBEXHLevel3X 3 10" xfId="16554" xr:uid="{00000000-0005-0000-0000-000093410000}"/>
    <cellStyle name="SAPBEXHLevel3X 3 11" xfId="16555" xr:uid="{00000000-0005-0000-0000-000094410000}"/>
    <cellStyle name="SAPBEXHLevel3X 3 2" xfId="16556" xr:uid="{00000000-0005-0000-0000-000095410000}"/>
    <cellStyle name="SAPBEXHLevel3X 3 2 2" xfId="16557" xr:uid="{00000000-0005-0000-0000-000096410000}"/>
    <cellStyle name="SAPBEXHLevel3X 3 2 3" xfId="16558" xr:uid="{00000000-0005-0000-0000-000097410000}"/>
    <cellStyle name="SAPBEXHLevel3X 3 2 4" xfId="16559" xr:uid="{00000000-0005-0000-0000-000098410000}"/>
    <cellStyle name="SAPBEXHLevel3X 3 2 5" xfId="16560" xr:uid="{00000000-0005-0000-0000-000099410000}"/>
    <cellStyle name="SAPBEXHLevel3X 3 2 6" xfId="16561" xr:uid="{00000000-0005-0000-0000-00009A410000}"/>
    <cellStyle name="SAPBEXHLevel3X 3 3" xfId="16562" xr:uid="{00000000-0005-0000-0000-00009B410000}"/>
    <cellStyle name="SAPBEXHLevel3X 3 3 2" xfId="16563" xr:uid="{00000000-0005-0000-0000-00009C410000}"/>
    <cellStyle name="SAPBEXHLevel3X 3 3 3" xfId="16564" xr:uid="{00000000-0005-0000-0000-00009D410000}"/>
    <cellStyle name="SAPBEXHLevel3X 3 3 4" xfId="16565" xr:uid="{00000000-0005-0000-0000-00009E410000}"/>
    <cellStyle name="SAPBEXHLevel3X 3 3 5" xfId="16566" xr:uid="{00000000-0005-0000-0000-00009F410000}"/>
    <cellStyle name="SAPBEXHLevel3X 3 3 6" xfId="16567" xr:uid="{00000000-0005-0000-0000-0000A0410000}"/>
    <cellStyle name="SAPBEXHLevel3X 3 4" xfId="16568" xr:uid="{00000000-0005-0000-0000-0000A1410000}"/>
    <cellStyle name="SAPBEXHLevel3X 3 4 2" xfId="16569" xr:uid="{00000000-0005-0000-0000-0000A2410000}"/>
    <cellStyle name="SAPBEXHLevel3X 3 4 3" xfId="16570" xr:uid="{00000000-0005-0000-0000-0000A3410000}"/>
    <cellStyle name="SAPBEXHLevel3X 3 4 4" xfId="16571" xr:uid="{00000000-0005-0000-0000-0000A4410000}"/>
    <cellStyle name="SAPBEXHLevel3X 3 4 5" xfId="16572" xr:uid="{00000000-0005-0000-0000-0000A5410000}"/>
    <cellStyle name="SAPBEXHLevel3X 3 4 6" xfId="16573" xr:uid="{00000000-0005-0000-0000-0000A6410000}"/>
    <cellStyle name="SAPBEXHLevel3X 3 5" xfId="16574" xr:uid="{00000000-0005-0000-0000-0000A7410000}"/>
    <cellStyle name="SAPBEXHLevel3X 3 5 2" xfId="16575" xr:uid="{00000000-0005-0000-0000-0000A8410000}"/>
    <cellStyle name="SAPBEXHLevel3X 3 5 3" xfId="16576" xr:uid="{00000000-0005-0000-0000-0000A9410000}"/>
    <cellStyle name="SAPBEXHLevel3X 3 5 4" xfId="16577" xr:uid="{00000000-0005-0000-0000-0000AA410000}"/>
    <cellStyle name="SAPBEXHLevel3X 3 5 5" xfId="16578" xr:uid="{00000000-0005-0000-0000-0000AB410000}"/>
    <cellStyle name="SAPBEXHLevel3X 3 5 6" xfId="16579" xr:uid="{00000000-0005-0000-0000-0000AC410000}"/>
    <cellStyle name="SAPBEXHLevel3X 3 6" xfId="16580" xr:uid="{00000000-0005-0000-0000-0000AD410000}"/>
    <cellStyle name="SAPBEXHLevel3X 3 6 2" xfId="16581" xr:uid="{00000000-0005-0000-0000-0000AE410000}"/>
    <cellStyle name="SAPBEXHLevel3X 3 6 3" xfId="16582" xr:uid="{00000000-0005-0000-0000-0000AF410000}"/>
    <cellStyle name="SAPBEXHLevel3X 3 6 4" xfId="16583" xr:uid="{00000000-0005-0000-0000-0000B0410000}"/>
    <cellStyle name="SAPBEXHLevel3X 3 6 5" xfId="16584" xr:uid="{00000000-0005-0000-0000-0000B1410000}"/>
    <cellStyle name="SAPBEXHLevel3X 3 6 6" xfId="16585" xr:uid="{00000000-0005-0000-0000-0000B2410000}"/>
    <cellStyle name="SAPBEXHLevel3X 3 7" xfId="16586" xr:uid="{00000000-0005-0000-0000-0000B3410000}"/>
    <cellStyle name="SAPBEXHLevel3X 3 8" xfId="16587" xr:uid="{00000000-0005-0000-0000-0000B4410000}"/>
    <cellStyle name="SAPBEXHLevel3X 3 9" xfId="16588" xr:uid="{00000000-0005-0000-0000-0000B5410000}"/>
    <cellStyle name="SAPBEXHLevel3X 30" xfId="16589" xr:uid="{00000000-0005-0000-0000-0000B6410000}"/>
    <cellStyle name="SAPBEXHLevel3X 30 2" xfId="16590" xr:uid="{00000000-0005-0000-0000-0000B7410000}"/>
    <cellStyle name="SAPBEXHLevel3X 30 3" xfId="16591" xr:uid="{00000000-0005-0000-0000-0000B8410000}"/>
    <cellStyle name="SAPBEXHLevel3X 30 4" xfId="16592" xr:uid="{00000000-0005-0000-0000-0000B9410000}"/>
    <cellStyle name="SAPBEXHLevel3X 30 5" xfId="16593" xr:uid="{00000000-0005-0000-0000-0000BA410000}"/>
    <cellStyle name="SAPBEXHLevel3X 30 6" xfId="16594" xr:uid="{00000000-0005-0000-0000-0000BB410000}"/>
    <cellStyle name="SAPBEXHLevel3X 31" xfId="16595" xr:uid="{00000000-0005-0000-0000-0000BC410000}"/>
    <cellStyle name="SAPBEXHLevel3X 31 2" xfId="16596" xr:uid="{00000000-0005-0000-0000-0000BD410000}"/>
    <cellStyle name="SAPBEXHLevel3X 31 3" xfId="16597" xr:uid="{00000000-0005-0000-0000-0000BE410000}"/>
    <cellStyle name="SAPBEXHLevel3X 31 4" xfId="16598" xr:uid="{00000000-0005-0000-0000-0000BF410000}"/>
    <cellStyle name="SAPBEXHLevel3X 31 5" xfId="16599" xr:uid="{00000000-0005-0000-0000-0000C0410000}"/>
    <cellStyle name="SAPBEXHLevel3X 31 6" xfId="16600" xr:uid="{00000000-0005-0000-0000-0000C1410000}"/>
    <cellStyle name="SAPBEXHLevel3X 32" xfId="16601" xr:uid="{00000000-0005-0000-0000-0000C2410000}"/>
    <cellStyle name="SAPBEXHLevel3X 32 2" xfId="16602" xr:uid="{00000000-0005-0000-0000-0000C3410000}"/>
    <cellStyle name="SAPBEXHLevel3X 32 3" xfId="16603" xr:uid="{00000000-0005-0000-0000-0000C4410000}"/>
    <cellStyle name="SAPBEXHLevel3X 32 4" xfId="16604" xr:uid="{00000000-0005-0000-0000-0000C5410000}"/>
    <cellStyle name="SAPBEXHLevel3X 32 5" xfId="16605" xr:uid="{00000000-0005-0000-0000-0000C6410000}"/>
    <cellStyle name="SAPBEXHLevel3X 32 6" xfId="16606" xr:uid="{00000000-0005-0000-0000-0000C7410000}"/>
    <cellStyle name="SAPBEXHLevel3X 33" xfId="16607" xr:uid="{00000000-0005-0000-0000-0000C8410000}"/>
    <cellStyle name="SAPBEXHLevel3X 34" xfId="16608" xr:uid="{00000000-0005-0000-0000-0000C9410000}"/>
    <cellStyle name="SAPBEXHLevel3X 35" xfId="16609" xr:uid="{00000000-0005-0000-0000-0000CA410000}"/>
    <cellStyle name="SAPBEXHLevel3X 36" xfId="16610" xr:uid="{00000000-0005-0000-0000-0000CB410000}"/>
    <cellStyle name="SAPBEXHLevel3X 37" xfId="16611" xr:uid="{00000000-0005-0000-0000-0000CC410000}"/>
    <cellStyle name="SAPBEXHLevel3X 38" xfId="16612" xr:uid="{00000000-0005-0000-0000-0000CD410000}"/>
    <cellStyle name="SAPBEXHLevel3X 39" xfId="16613" xr:uid="{00000000-0005-0000-0000-0000CE410000}"/>
    <cellStyle name="SAPBEXHLevel3X 4" xfId="16614" xr:uid="{00000000-0005-0000-0000-0000CF410000}"/>
    <cellStyle name="SAPBEXHLevel3X 4 10" xfId="16615" xr:uid="{00000000-0005-0000-0000-0000D0410000}"/>
    <cellStyle name="SAPBEXHLevel3X 4 10 2" xfId="16616" xr:uid="{00000000-0005-0000-0000-0000D1410000}"/>
    <cellStyle name="SAPBEXHLevel3X 4 10 3" xfId="16617" xr:uid="{00000000-0005-0000-0000-0000D2410000}"/>
    <cellStyle name="SAPBEXHLevel3X 4 10 4" xfId="16618" xr:uid="{00000000-0005-0000-0000-0000D3410000}"/>
    <cellStyle name="SAPBEXHLevel3X 4 11" xfId="16619" xr:uid="{00000000-0005-0000-0000-0000D4410000}"/>
    <cellStyle name="SAPBEXHLevel3X 4 11 2" xfId="16620" xr:uid="{00000000-0005-0000-0000-0000D5410000}"/>
    <cellStyle name="SAPBEXHLevel3X 4 11 3" xfId="16621" xr:uid="{00000000-0005-0000-0000-0000D6410000}"/>
    <cellStyle name="SAPBEXHLevel3X 4 11 4" xfId="16622" xr:uid="{00000000-0005-0000-0000-0000D7410000}"/>
    <cellStyle name="SAPBEXHLevel3X 4 12" xfId="16623" xr:uid="{00000000-0005-0000-0000-0000D8410000}"/>
    <cellStyle name="SAPBEXHLevel3X 4 12 2" xfId="16624" xr:uid="{00000000-0005-0000-0000-0000D9410000}"/>
    <cellStyle name="SAPBEXHLevel3X 4 12 3" xfId="16625" xr:uid="{00000000-0005-0000-0000-0000DA410000}"/>
    <cellStyle name="SAPBEXHLevel3X 4 12 4" xfId="16626" xr:uid="{00000000-0005-0000-0000-0000DB410000}"/>
    <cellStyle name="SAPBEXHLevel3X 4 13" xfId="16627" xr:uid="{00000000-0005-0000-0000-0000DC410000}"/>
    <cellStyle name="SAPBEXHLevel3X 4 13 2" xfId="16628" xr:uid="{00000000-0005-0000-0000-0000DD410000}"/>
    <cellStyle name="SAPBEXHLevel3X 4 13 3" xfId="16629" xr:uid="{00000000-0005-0000-0000-0000DE410000}"/>
    <cellStyle name="SAPBEXHLevel3X 4 13 4" xfId="16630" xr:uid="{00000000-0005-0000-0000-0000DF410000}"/>
    <cellStyle name="SAPBEXHLevel3X 4 14" xfId="16631" xr:uid="{00000000-0005-0000-0000-0000E0410000}"/>
    <cellStyle name="SAPBEXHLevel3X 4 15" xfId="16632" xr:uid="{00000000-0005-0000-0000-0000E1410000}"/>
    <cellStyle name="SAPBEXHLevel3X 4 16" xfId="16633" xr:uid="{00000000-0005-0000-0000-0000E2410000}"/>
    <cellStyle name="SAPBEXHLevel3X 4 17" xfId="16634" xr:uid="{00000000-0005-0000-0000-0000E3410000}"/>
    <cellStyle name="SAPBEXHLevel3X 4 18" xfId="16635" xr:uid="{00000000-0005-0000-0000-0000E4410000}"/>
    <cellStyle name="SAPBEXHLevel3X 4 2" xfId="16636" xr:uid="{00000000-0005-0000-0000-0000E5410000}"/>
    <cellStyle name="SAPBEXHLevel3X 4 2 2" xfId="16637" xr:uid="{00000000-0005-0000-0000-0000E6410000}"/>
    <cellStyle name="SAPBEXHLevel3X 4 2 2 2" xfId="16638" xr:uid="{00000000-0005-0000-0000-0000E7410000}"/>
    <cellStyle name="SAPBEXHLevel3X 4 2 2 3" xfId="16639" xr:uid="{00000000-0005-0000-0000-0000E8410000}"/>
    <cellStyle name="SAPBEXHLevel3X 4 2 2 4" xfId="16640" xr:uid="{00000000-0005-0000-0000-0000E9410000}"/>
    <cellStyle name="SAPBEXHLevel3X 4 2 2 5" xfId="16641" xr:uid="{00000000-0005-0000-0000-0000EA410000}"/>
    <cellStyle name="SAPBEXHLevel3X 4 2 2 6" xfId="16642" xr:uid="{00000000-0005-0000-0000-0000EB410000}"/>
    <cellStyle name="SAPBEXHLevel3X 4 2 3" xfId="16643" xr:uid="{00000000-0005-0000-0000-0000EC410000}"/>
    <cellStyle name="SAPBEXHLevel3X 4 2 3 2" xfId="16644" xr:uid="{00000000-0005-0000-0000-0000ED410000}"/>
    <cellStyle name="SAPBEXHLevel3X 4 2 3 3" xfId="16645" xr:uid="{00000000-0005-0000-0000-0000EE410000}"/>
    <cellStyle name="SAPBEXHLevel3X 4 2 3 4" xfId="16646" xr:uid="{00000000-0005-0000-0000-0000EF410000}"/>
    <cellStyle name="SAPBEXHLevel3X 4 2 3 5" xfId="16647" xr:uid="{00000000-0005-0000-0000-0000F0410000}"/>
    <cellStyle name="SAPBEXHLevel3X 4 2 3 6" xfId="16648" xr:uid="{00000000-0005-0000-0000-0000F1410000}"/>
    <cellStyle name="SAPBEXHLevel3X 4 2 4" xfId="16649" xr:uid="{00000000-0005-0000-0000-0000F2410000}"/>
    <cellStyle name="SAPBEXHLevel3X 4 2 4 2" xfId="16650" xr:uid="{00000000-0005-0000-0000-0000F3410000}"/>
    <cellStyle name="SAPBEXHLevel3X 4 2 4 3" xfId="16651" xr:uid="{00000000-0005-0000-0000-0000F4410000}"/>
    <cellStyle name="SAPBEXHLevel3X 4 2 4 4" xfId="16652" xr:uid="{00000000-0005-0000-0000-0000F5410000}"/>
    <cellStyle name="SAPBEXHLevel3X 4 2 4 5" xfId="16653" xr:uid="{00000000-0005-0000-0000-0000F6410000}"/>
    <cellStyle name="SAPBEXHLevel3X 4 2 4 6" xfId="16654" xr:uid="{00000000-0005-0000-0000-0000F7410000}"/>
    <cellStyle name="SAPBEXHLevel3X 4 2 5" xfId="16655" xr:uid="{00000000-0005-0000-0000-0000F8410000}"/>
    <cellStyle name="SAPBEXHLevel3X 4 2 5 2" xfId="16656" xr:uid="{00000000-0005-0000-0000-0000F9410000}"/>
    <cellStyle name="SAPBEXHLevel3X 4 2 5 3" xfId="16657" xr:uid="{00000000-0005-0000-0000-0000FA410000}"/>
    <cellStyle name="SAPBEXHLevel3X 4 2 5 4" xfId="16658" xr:uid="{00000000-0005-0000-0000-0000FB410000}"/>
    <cellStyle name="SAPBEXHLevel3X 4 2 5 5" xfId="16659" xr:uid="{00000000-0005-0000-0000-0000FC410000}"/>
    <cellStyle name="SAPBEXHLevel3X 4 2 5 6" xfId="16660" xr:uid="{00000000-0005-0000-0000-0000FD410000}"/>
    <cellStyle name="SAPBEXHLevel3X 4 2 6" xfId="16661" xr:uid="{00000000-0005-0000-0000-0000FE410000}"/>
    <cellStyle name="SAPBEXHLevel3X 4 2 7" xfId="16662" xr:uid="{00000000-0005-0000-0000-0000FF410000}"/>
    <cellStyle name="SAPBEXHLevel3X 4 2 8" xfId="16663" xr:uid="{00000000-0005-0000-0000-000000420000}"/>
    <cellStyle name="SAPBEXHLevel3X 4 3" xfId="16664" xr:uid="{00000000-0005-0000-0000-000001420000}"/>
    <cellStyle name="SAPBEXHLevel3X 4 3 2" xfId="16665" xr:uid="{00000000-0005-0000-0000-000002420000}"/>
    <cellStyle name="SAPBEXHLevel3X 4 3 2 2" xfId="16666" xr:uid="{00000000-0005-0000-0000-000003420000}"/>
    <cellStyle name="SAPBEXHLevel3X 4 3 2 3" xfId="16667" xr:uid="{00000000-0005-0000-0000-000004420000}"/>
    <cellStyle name="SAPBEXHLevel3X 4 3 2 4" xfId="16668" xr:uid="{00000000-0005-0000-0000-000005420000}"/>
    <cellStyle name="SAPBEXHLevel3X 4 3 2 5" xfId="16669" xr:uid="{00000000-0005-0000-0000-000006420000}"/>
    <cellStyle name="SAPBEXHLevel3X 4 3 2 6" xfId="16670" xr:uid="{00000000-0005-0000-0000-000007420000}"/>
    <cellStyle name="SAPBEXHLevel3X 4 3 3" xfId="16671" xr:uid="{00000000-0005-0000-0000-000008420000}"/>
    <cellStyle name="SAPBEXHLevel3X 4 3 3 2" xfId="16672" xr:uid="{00000000-0005-0000-0000-000009420000}"/>
    <cellStyle name="SAPBEXHLevel3X 4 3 3 3" xfId="16673" xr:uid="{00000000-0005-0000-0000-00000A420000}"/>
    <cellStyle name="SAPBEXHLevel3X 4 3 3 4" xfId="16674" xr:uid="{00000000-0005-0000-0000-00000B420000}"/>
    <cellStyle name="SAPBEXHLevel3X 4 3 3 5" xfId="16675" xr:uid="{00000000-0005-0000-0000-00000C420000}"/>
    <cellStyle name="SAPBEXHLevel3X 4 3 3 6" xfId="16676" xr:uid="{00000000-0005-0000-0000-00000D420000}"/>
    <cellStyle name="SAPBEXHLevel3X 4 3 4" xfId="16677" xr:uid="{00000000-0005-0000-0000-00000E420000}"/>
    <cellStyle name="SAPBEXHLevel3X 4 3 4 2" xfId="16678" xr:uid="{00000000-0005-0000-0000-00000F420000}"/>
    <cellStyle name="SAPBEXHLevel3X 4 3 4 3" xfId="16679" xr:uid="{00000000-0005-0000-0000-000010420000}"/>
    <cellStyle name="SAPBEXHLevel3X 4 3 4 4" xfId="16680" xr:uid="{00000000-0005-0000-0000-000011420000}"/>
    <cellStyle name="SAPBEXHLevel3X 4 3 4 5" xfId="16681" xr:uid="{00000000-0005-0000-0000-000012420000}"/>
    <cellStyle name="SAPBEXHLevel3X 4 3 4 6" xfId="16682" xr:uid="{00000000-0005-0000-0000-000013420000}"/>
    <cellStyle name="SAPBEXHLevel3X 4 3 5" xfId="16683" xr:uid="{00000000-0005-0000-0000-000014420000}"/>
    <cellStyle name="SAPBEXHLevel3X 4 3 5 2" xfId="16684" xr:uid="{00000000-0005-0000-0000-000015420000}"/>
    <cellStyle name="SAPBEXHLevel3X 4 3 5 3" xfId="16685" xr:uid="{00000000-0005-0000-0000-000016420000}"/>
    <cellStyle name="SAPBEXHLevel3X 4 3 5 4" xfId="16686" xr:uid="{00000000-0005-0000-0000-000017420000}"/>
    <cellStyle name="SAPBEXHLevel3X 4 3 5 5" xfId="16687" xr:uid="{00000000-0005-0000-0000-000018420000}"/>
    <cellStyle name="SAPBEXHLevel3X 4 3 5 6" xfId="16688" xr:uid="{00000000-0005-0000-0000-000019420000}"/>
    <cellStyle name="SAPBEXHLevel3X 4 3 6" xfId="16689" xr:uid="{00000000-0005-0000-0000-00001A420000}"/>
    <cellStyle name="SAPBEXHLevel3X 4 3 7" xfId="16690" xr:uid="{00000000-0005-0000-0000-00001B420000}"/>
    <cellStyle name="SAPBEXHLevel3X 4 3 8" xfId="16691" xr:uid="{00000000-0005-0000-0000-00001C420000}"/>
    <cellStyle name="SAPBEXHLevel3X 4 4" xfId="16692" xr:uid="{00000000-0005-0000-0000-00001D420000}"/>
    <cellStyle name="SAPBEXHLevel3X 4 4 2" xfId="16693" xr:uid="{00000000-0005-0000-0000-00001E420000}"/>
    <cellStyle name="SAPBEXHLevel3X 4 4 2 2" xfId="16694" xr:uid="{00000000-0005-0000-0000-00001F420000}"/>
    <cellStyle name="SAPBEXHLevel3X 4 4 2 3" xfId="16695" xr:uid="{00000000-0005-0000-0000-000020420000}"/>
    <cellStyle name="SAPBEXHLevel3X 4 4 2 4" xfId="16696" xr:uid="{00000000-0005-0000-0000-000021420000}"/>
    <cellStyle name="SAPBEXHLevel3X 4 4 2 5" xfId="16697" xr:uid="{00000000-0005-0000-0000-000022420000}"/>
    <cellStyle name="SAPBEXHLevel3X 4 4 2 6" xfId="16698" xr:uid="{00000000-0005-0000-0000-000023420000}"/>
    <cellStyle name="SAPBEXHLevel3X 4 4 3" xfId="16699" xr:uid="{00000000-0005-0000-0000-000024420000}"/>
    <cellStyle name="SAPBEXHLevel3X 4 4 3 2" xfId="16700" xr:uid="{00000000-0005-0000-0000-000025420000}"/>
    <cellStyle name="SAPBEXHLevel3X 4 4 3 3" xfId="16701" xr:uid="{00000000-0005-0000-0000-000026420000}"/>
    <cellStyle name="SAPBEXHLevel3X 4 4 3 4" xfId="16702" xr:uid="{00000000-0005-0000-0000-000027420000}"/>
    <cellStyle name="SAPBEXHLevel3X 4 4 3 5" xfId="16703" xr:uid="{00000000-0005-0000-0000-000028420000}"/>
    <cellStyle name="SAPBEXHLevel3X 4 4 3 6" xfId="16704" xr:uid="{00000000-0005-0000-0000-000029420000}"/>
    <cellStyle name="SAPBEXHLevel3X 4 4 4" xfId="16705" xr:uid="{00000000-0005-0000-0000-00002A420000}"/>
    <cellStyle name="SAPBEXHLevel3X 4 4 4 2" xfId="16706" xr:uid="{00000000-0005-0000-0000-00002B420000}"/>
    <cellStyle name="SAPBEXHLevel3X 4 4 4 3" xfId="16707" xr:uid="{00000000-0005-0000-0000-00002C420000}"/>
    <cellStyle name="SAPBEXHLevel3X 4 4 4 4" xfId="16708" xr:uid="{00000000-0005-0000-0000-00002D420000}"/>
    <cellStyle name="SAPBEXHLevel3X 4 4 4 5" xfId="16709" xr:uid="{00000000-0005-0000-0000-00002E420000}"/>
    <cellStyle name="SAPBEXHLevel3X 4 4 4 6" xfId="16710" xr:uid="{00000000-0005-0000-0000-00002F420000}"/>
    <cellStyle name="SAPBEXHLevel3X 4 4 5" xfId="16711" xr:uid="{00000000-0005-0000-0000-000030420000}"/>
    <cellStyle name="SAPBEXHLevel3X 4 4 5 2" xfId="16712" xr:uid="{00000000-0005-0000-0000-000031420000}"/>
    <cellStyle name="SAPBEXHLevel3X 4 4 5 3" xfId="16713" xr:uid="{00000000-0005-0000-0000-000032420000}"/>
    <cellStyle name="SAPBEXHLevel3X 4 4 5 4" xfId="16714" xr:uid="{00000000-0005-0000-0000-000033420000}"/>
    <cellStyle name="SAPBEXHLevel3X 4 4 5 5" xfId="16715" xr:uid="{00000000-0005-0000-0000-000034420000}"/>
    <cellStyle name="SAPBEXHLevel3X 4 4 5 6" xfId="16716" xr:uid="{00000000-0005-0000-0000-000035420000}"/>
    <cellStyle name="SAPBEXHLevel3X 4 4 6" xfId="16717" xr:uid="{00000000-0005-0000-0000-000036420000}"/>
    <cellStyle name="SAPBEXHLevel3X 4 4 7" xfId="16718" xr:uid="{00000000-0005-0000-0000-000037420000}"/>
    <cellStyle name="SAPBEXHLevel3X 4 4 8" xfId="16719" xr:uid="{00000000-0005-0000-0000-000038420000}"/>
    <cellStyle name="SAPBEXHLevel3X 4 5" xfId="16720" xr:uid="{00000000-0005-0000-0000-000039420000}"/>
    <cellStyle name="SAPBEXHLevel3X 4 5 2" xfId="16721" xr:uid="{00000000-0005-0000-0000-00003A420000}"/>
    <cellStyle name="SAPBEXHLevel3X 4 5 3" xfId="16722" xr:uid="{00000000-0005-0000-0000-00003B420000}"/>
    <cellStyle name="SAPBEXHLevel3X 4 5 4" xfId="16723" xr:uid="{00000000-0005-0000-0000-00003C420000}"/>
    <cellStyle name="SAPBEXHLevel3X 4 6" xfId="16724" xr:uid="{00000000-0005-0000-0000-00003D420000}"/>
    <cellStyle name="SAPBEXHLevel3X 4 6 2" xfId="16725" xr:uid="{00000000-0005-0000-0000-00003E420000}"/>
    <cellStyle name="SAPBEXHLevel3X 4 6 3" xfId="16726" xr:uid="{00000000-0005-0000-0000-00003F420000}"/>
    <cellStyle name="SAPBEXHLevel3X 4 6 4" xfId="16727" xr:uid="{00000000-0005-0000-0000-000040420000}"/>
    <cellStyle name="SAPBEXHLevel3X 4 7" xfId="16728" xr:uid="{00000000-0005-0000-0000-000041420000}"/>
    <cellStyle name="SAPBEXHLevel3X 4 7 2" xfId="16729" xr:uid="{00000000-0005-0000-0000-000042420000}"/>
    <cellStyle name="SAPBEXHLevel3X 4 7 3" xfId="16730" xr:uid="{00000000-0005-0000-0000-000043420000}"/>
    <cellStyle name="SAPBEXHLevel3X 4 7 4" xfId="16731" xr:uid="{00000000-0005-0000-0000-000044420000}"/>
    <cellStyle name="SAPBEXHLevel3X 4 8" xfId="16732" xr:uid="{00000000-0005-0000-0000-000045420000}"/>
    <cellStyle name="SAPBEXHLevel3X 4 8 2" xfId="16733" xr:uid="{00000000-0005-0000-0000-000046420000}"/>
    <cellStyle name="SAPBEXHLevel3X 4 8 3" xfId="16734" xr:uid="{00000000-0005-0000-0000-000047420000}"/>
    <cellStyle name="SAPBEXHLevel3X 4 8 4" xfId="16735" xr:uid="{00000000-0005-0000-0000-000048420000}"/>
    <cellStyle name="SAPBEXHLevel3X 4 9" xfId="16736" xr:uid="{00000000-0005-0000-0000-000049420000}"/>
    <cellStyle name="SAPBEXHLevel3X 4 9 2" xfId="16737" xr:uid="{00000000-0005-0000-0000-00004A420000}"/>
    <cellStyle name="SAPBEXHLevel3X 4 9 3" xfId="16738" xr:uid="{00000000-0005-0000-0000-00004B420000}"/>
    <cellStyle name="SAPBEXHLevel3X 4 9 4" xfId="16739" xr:uid="{00000000-0005-0000-0000-00004C420000}"/>
    <cellStyle name="SAPBEXHLevel3X 40" xfId="16740" xr:uid="{00000000-0005-0000-0000-00004D420000}"/>
    <cellStyle name="SAPBEXHLevel3X 41" xfId="16741" xr:uid="{00000000-0005-0000-0000-00004E420000}"/>
    <cellStyle name="SAPBEXHLevel3X 42" xfId="16742" xr:uid="{00000000-0005-0000-0000-00004F420000}"/>
    <cellStyle name="SAPBEXHLevel3X 43" xfId="16743" xr:uid="{00000000-0005-0000-0000-000050420000}"/>
    <cellStyle name="SAPBEXHLevel3X 44" xfId="16744" xr:uid="{00000000-0005-0000-0000-000051420000}"/>
    <cellStyle name="SAPBEXHLevel3X 45" xfId="16745" xr:uid="{00000000-0005-0000-0000-000052420000}"/>
    <cellStyle name="SAPBEXHLevel3X 46" xfId="16746" xr:uid="{00000000-0005-0000-0000-000053420000}"/>
    <cellStyle name="SAPBEXHLevel3X 47" xfId="16747" xr:uid="{00000000-0005-0000-0000-000054420000}"/>
    <cellStyle name="SAPBEXHLevel3X 48" xfId="16748" xr:uid="{00000000-0005-0000-0000-000055420000}"/>
    <cellStyle name="SAPBEXHLevel3X 49" xfId="16749" xr:uid="{00000000-0005-0000-0000-000056420000}"/>
    <cellStyle name="SAPBEXHLevel3X 5" xfId="16750" xr:uid="{00000000-0005-0000-0000-000057420000}"/>
    <cellStyle name="SAPBEXHLevel3X 5 10" xfId="16751" xr:uid="{00000000-0005-0000-0000-000058420000}"/>
    <cellStyle name="SAPBEXHLevel3X 5 11" xfId="16752" xr:uid="{00000000-0005-0000-0000-000059420000}"/>
    <cellStyle name="SAPBEXHLevel3X 5 12" xfId="16753" xr:uid="{00000000-0005-0000-0000-00005A420000}"/>
    <cellStyle name="SAPBEXHLevel3X 5 2" xfId="16754" xr:uid="{00000000-0005-0000-0000-00005B420000}"/>
    <cellStyle name="SAPBEXHLevel3X 5 2 2" xfId="16755" xr:uid="{00000000-0005-0000-0000-00005C420000}"/>
    <cellStyle name="SAPBEXHLevel3X 5 2 2 2" xfId="16756" xr:uid="{00000000-0005-0000-0000-00005D420000}"/>
    <cellStyle name="SAPBEXHLevel3X 5 2 2 3" xfId="16757" xr:uid="{00000000-0005-0000-0000-00005E420000}"/>
    <cellStyle name="SAPBEXHLevel3X 5 2 2 4" xfId="16758" xr:uid="{00000000-0005-0000-0000-00005F420000}"/>
    <cellStyle name="SAPBEXHLevel3X 5 2 2 5" xfId="16759" xr:uid="{00000000-0005-0000-0000-000060420000}"/>
    <cellStyle name="SAPBEXHLevel3X 5 2 2 6" xfId="16760" xr:uid="{00000000-0005-0000-0000-000061420000}"/>
    <cellStyle name="SAPBEXHLevel3X 5 2 3" xfId="16761" xr:uid="{00000000-0005-0000-0000-000062420000}"/>
    <cellStyle name="SAPBEXHLevel3X 5 2 3 2" xfId="16762" xr:uid="{00000000-0005-0000-0000-000063420000}"/>
    <cellStyle name="SAPBEXHLevel3X 5 2 3 3" xfId="16763" xr:uid="{00000000-0005-0000-0000-000064420000}"/>
    <cellStyle name="SAPBEXHLevel3X 5 2 3 4" xfId="16764" xr:uid="{00000000-0005-0000-0000-000065420000}"/>
    <cellStyle name="SAPBEXHLevel3X 5 2 3 5" xfId="16765" xr:uid="{00000000-0005-0000-0000-000066420000}"/>
    <cellStyle name="SAPBEXHLevel3X 5 2 3 6" xfId="16766" xr:uid="{00000000-0005-0000-0000-000067420000}"/>
    <cellStyle name="SAPBEXHLevel3X 5 2 4" xfId="16767" xr:uid="{00000000-0005-0000-0000-000068420000}"/>
    <cellStyle name="SAPBEXHLevel3X 5 2 4 2" xfId="16768" xr:uid="{00000000-0005-0000-0000-000069420000}"/>
    <cellStyle name="SAPBEXHLevel3X 5 2 4 3" xfId="16769" xr:uid="{00000000-0005-0000-0000-00006A420000}"/>
    <cellStyle name="SAPBEXHLevel3X 5 2 4 4" xfId="16770" xr:uid="{00000000-0005-0000-0000-00006B420000}"/>
    <cellStyle name="SAPBEXHLevel3X 5 2 4 5" xfId="16771" xr:uid="{00000000-0005-0000-0000-00006C420000}"/>
    <cellStyle name="SAPBEXHLevel3X 5 2 4 6" xfId="16772" xr:uid="{00000000-0005-0000-0000-00006D420000}"/>
    <cellStyle name="SAPBEXHLevel3X 5 2 5" xfId="16773" xr:uid="{00000000-0005-0000-0000-00006E420000}"/>
    <cellStyle name="SAPBEXHLevel3X 5 2 5 2" xfId="16774" xr:uid="{00000000-0005-0000-0000-00006F420000}"/>
    <cellStyle name="SAPBEXHLevel3X 5 2 5 3" xfId="16775" xr:uid="{00000000-0005-0000-0000-000070420000}"/>
    <cellStyle name="SAPBEXHLevel3X 5 2 5 4" xfId="16776" xr:uid="{00000000-0005-0000-0000-000071420000}"/>
    <cellStyle name="SAPBEXHLevel3X 5 2 5 5" xfId="16777" xr:uid="{00000000-0005-0000-0000-000072420000}"/>
    <cellStyle name="SAPBEXHLevel3X 5 2 5 6" xfId="16778" xr:uid="{00000000-0005-0000-0000-000073420000}"/>
    <cellStyle name="SAPBEXHLevel3X 5 2 6" xfId="16779" xr:uid="{00000000-0005-0000-0000-000074420000}"/>
    <cellStyle name="SAPBEXHLevel3X 5 2 7" xfId="16780" xr:uid="{00000000-0005-0000-0000-000075420000}"/>
    <cellStyle name="SAPBEXHLevel3X 5 2 8" xfId="16781" xr:uid="{00000000-0005-0000-0000-000076420000}"/>
    <cellStyle name="SAPBEXHLevel3X 5 3" xfId="16782" xr:uid="{00000000-0005-0000-0000-000077420000}"/>
    <cellStyle name="SAPBEXHLevel3X 5 3 2" xfId="16783" xr:uid="{00000000-0005-0000-0000-000078420000}"/>
    <cellStyle name="SAPBEXHLevel3X 5 3 3" xfId="16784" xr:uid="{00000000-0005-0000-0000-000079420000}"/>
    <cellStyle name="SAPBEXHLevel3X 5 3 4" xfId="16785" xr:uid="{00000000-0005-0000-0000-00007A420000}"/>
    <cellStyle name="SAPBEXHLevel3X 5 3 5" xfId="16786" xr:uid="{00000000-0005-0000-0000-00007B420000}"/>
    <cellStyle name="SAPBEXHLevel3X 5 3 6" xfId="16787" xr:uid="{00000000-0005-0000-0000-00007C420000}"/>
    <cellStyle name="SAPBEXHLevel3X 5 4" xfId="16788" xr:uid="{00000000-0005-0000-0000-00007D420000}"/>
    <cellStyle name="SAPBEXHLevel3X 5 4 2" xfId="16789" xr:uid="{00000000-0005-0000-0000-00007E420000}"/>
    <cellStyle name="SAPBEXHLevel3X 5 4 3" xfId="16790" xr:uid="{00000000-0005-0000-0000-00007F420000}"/>
    <cellStyle name="SAPBEXHLevel3X 5 4 4" xfId="16791" xr:uid="{00000000-0005-0000-0000-000080420000}"/>
    <cellStyle name="SAPBEXHLevel3X 5 4 5" xfId="16792" xr:uid="{00000000-0005-0000-0000-000081420000}"/>
    <cellStyle name="SAPBEXHLevel3X 5 4 6" xfId="16793" xr:uid="{00000000-0005-0000-0000-000082420000}"/>
    <cellStyle name="SAPBEXHLevel3X 5 5" xfId="16794" xr:uid="{00000000-0005-0000-0000-000083420000}"/>
    <cellStyle name="SAPBEXHLevel3X 5 5 2" xfId="16795" xr:uid="{00000000-0005-0000-0000-000084420000}"/>
    <cellStyle name="SAPBEXHLevel3X 5 5 3" xfId="16796" xr:uid="{00000000-0005-0000-0000-000085420000}"/>
    <cellStyle name="SAPBEXHLevel3X 5 5 4" xfId="16797" xr:uid="{00000000-0005-0000-0000-000086420000}"/>
    <cellStyle name="SAPBEXHLevel3X 5 6" xfId="16798" xr:uid="{00000000-0005-0000-0000-000087420000}"/>
    <cellStyle name="SAPBEXHLevel3X 5 6 2" xfId="16799" xr:uid="{00000000-0005-0000-0000-000088420000}"/>
    <cellStyle name="SAPBEXHLevel3X 5 6 3" xfId="16800" xr:uid="{00000000-0005-0000-0000-000089420000}"/>
    <cellStyle name="SAPBEXHLevel3X 5 6 4" xfId="16801" xr:uid="{00000000-0005-0000-0000-00008A420000}"/>
    <cellStyle name="SAPBEXHLevel3X 5 7" xfId="16802" xr:uid="{00000000-0005-0000-0000-00008B420000}"/>
    <cellStyle name="SAPBEXHLevel3X 5 7 2" xfId="16803" xr:uid="{00000000-0005-0000-0000-00008C420000}"/>
    <cellStyle name="SAPBEXHLevel3X 5 7 3" xfId="16804" xr:uid="{00000000-0005-0000-0000-00008D420000}"/>
    <cellStyle name="SAPBEXHLevel3X 5 7 4" xfId="16805" xr:uid="{00000000-0005-0000-0000-00008E420000}"/>
    <cellStyle name="SAPBEXHLevel3X 5 8" xfId="16806" xr:uid="{00000000-0005-0000-0000-00008F420000}"/>
    <cellStyle name="SAPBEXHLevel3X 5 9" xfId="16807" xr:uid="{00000000-0005-0000-0000-000090420000}"/>
    <cellStyle name="SAPBEXHLevel3X 50" xfId="16808" xr:uid="{00000000-0005-0000-0000-000091420000}"/>
    <cellStyle name="SAPBEXHLevel3X 51" xfId="16809" xr:uid="{00000000-0005-0000-0000-000092420000}"/>
    <cellStyle name="SAPBEXHLevel3X 52" xfId="16810" xr:uid="{00000000-0005-0000-0000-000093420000}"/>
    <cellStyle name="SAPBEXHLevel3X 53" xfId="16811" xr:uid="{00000000-0005-0000-0000-000094420000}"/>
    <cellStyle name="SAPBEXHLevel3X 54" xfId="16812" xr:uid="{00000000-0005-0000-0000-000095420000}"/>
    <cellStyle name="SAPBEXHLevel3X 55" xfId="16813" xr:uid="{00000000-0005-0000-0000-000096420000}"/>
    <cellStyle name="SAPBEXHLevel3X 56" xfId="16814" xr:uid="{00000000-0005-0000-0000-000097420000}"/>
    <cellStyle name="SAPBEXHLevel3X 57" xfId="16815" xr:uid="{00000000-0005-0000-0000-000098420000}"/>
    <cellStyle name="SAPBEXHLevel3X 58" xfId="16816" xr:uid="{00000000-0005-0000-0000-000099420000}"/>
    <cellStyle name="SAPBEXHLevel3X 59" xfId="16817" xr:uid="{00000000-0005-0000-0000-00009A420000}"/>
    <cellStyle name="SAPBEXHLevel3X 6" xfId="16818" xr:uid="{00000000-0005-0000-0000-00009B420000}"/>
    <cellStyle name="SAPBEXHLevel3X 6 10" xfId="16819" xr:uid="{00000000-0005-0000-0000-00009C420000}"/>
    <cellStyle name="SAPBEXHLevel3X 6 2" xfId="16820" xr:uid="{00000000-0005-0000-0000-00009D420000}"/>
    <cellStyle name="SAPBEXHLevel3X 6 2 2" xfId="16821" xr:uid="{00000000-0005-0000-0000-00009E420000}"/>
    <cellStyle name="SAPBEXHLevel3X 6 2 3" xfId="16822" xr:uid="{00000000-0005-0000-0000-00009F420000}"/>
    <cellStyle name="SAPBEXHLevel3X 6 2 4" xfId="16823" xr:uid="{00000000-0005-0000-0000-0000A0420000}"/>
    <cellStyle name="SAPBEXHLevel3X 6 2 5" xfId="27842" xr:uid="{00000000-0005-0000-0000-0000A1420000}"/>
    <cellStyle name="SAPBEXHLevel3X 6 3" xfId="16824" xr:uid="{00000000-0005-0000-0000-0000A2420000}"/>
    <cellStyle name="SAPBEXHLevel3X 6 3 2" xfId="16825" xr:uid="{00000000-0005-0000-0000-0000A3420000}"/>
    <cellStyle name="SAPBEXHLevel3X 6 3 3" xfId="16826" xr:uid="{00000000-0005-0000-0000-0000A4420000}"/>
    <cellStyle name="SAPBEXHLevel3X 6 3 4" xfId="16827" xr:uid="{00000000-0005-0000-0000-0000A5420000}"/>
    <cellStyle name="SAPBEXHLevel3X 6 4" xfId="16828" xr:uid="{00000000-0005-0000-0000-0000A6420000}"/>
    <cellStyle name="SAPBEXHLevel3X 6 4 2" xfId="16829" xr:uid="{00000000-0005-0000-0000-0000A7420000}"/>
    <cellStyle name="SAPBEXHLevel3X 6 4 3" xfId="16830" xr:uid="{00000000-0005-0000-0000-0000A8420000}"/>
    <cellStyle name="SAPBEXHLevel3X 6 4 4" xfId="16831" xr:uid="{00000000-0005-0000-0000-0000A9420000}"/>
    <cellStyle name="SAPBEXHLevel3X 6 5" xfId="16832" xr:uid="{00000000-0005-0000-0000-0000AA420000}"/>
    <cellStyle name="SAPBEXHLevel3X 6 5 2" xfId="16833" xr:uid="{00000000-0005-0000-0000-0000AB420000}"/>
    <cellStyle name="SAPBEXHLevel3X 6 5 3" xfId="16834" xr:uid="{00000000-0005-0000-0000-0000AC420000}"/>
    <cellStyle name="SAPBEXHLevel3X 6 5 4" xfId="16835" xr:uid="{00000000-0005-0000-0000-0000AD420000}"/>
    <cellStyle name="SAPBEXHLevel3X 6 6" xfId="16836" xr:uid="{00000000-0005-0000-0000-0000AE420000}"/>
    <cellStyle name="SAPBEXHLevel3X 6 7" xfId="16837" xr:uid="{00000000-0005-0000-0000-0000AF420000}"/>
    <cellStyle name="SAPBEXHLevel3X 6 8" xfId="16838" xr:uid="{00000000-0005-0000-0000-0000B0420000}"/>
    <cellStyle name="SAPBEXHLevel3X 6 9" xfId="16839" xr:uid="{00000000-0005-0000-0000-0000B1420000}"/>
    <cellStyle name="SAPBEXHLevel3X 60" xfId="16840" xr:uid="{00000000-0005-0000-0000-0000B2420000}"/>
    <cellStyle name="SAPBEXHLevel3X 61" xfId="16841" xr:uid="{00000000-0005-0000-0000-0000B3420000}"/>
    <cellStyle name="SAPBEXHLevel3X 62" xfId="16842" xr:uid="{00000000-0005-0000-0000-0000B4420000}"/>
    <cellStyle name="SAPBEXHLevel3X 63" xfId="16843" xr:uid="{00000000-0005-0000-0000-0000B5420000}"/>
    <cellStyle name="SAPBEXHLevel3X 64" xfId="16844" xr:uid="{00000000-0005-0000-0000-0000B6420000}"/>
    <cellStyle name="SAPBEXHLevel3X 65" xfId="16845" xr:uid="{00000000-0005-0000-0000-0000B7420000}"/>
    <cellStyle name="SAPBEXHLevel3X 66" xfId="16846" xr:uid="{00000000-0005-0000-0000-0000B8420000}"/>
    <cellStyle name="SAPBEXHLevel3X 67" xfId="16847" xr:uid="{00000000-0005-0000-0000-0000B9420000}"/>
    <cellStyle name="SAPBEXHLevel3X 68" xfId="16848" xr:uid="{00000000-0005-0000-0000-0000BA420000}"/>
    <cellStyle name="SAPBEXHLevel3X 69" xfId="16849" xr:uid="{00000000-0005-0000-0000-0000BB420000}"/>
    <cellStyle name="SAPBEXHLevel3X 7" xfId="16850" xr:uid="{00000000-0005-0000-0000-0000BC420000}"/>
    <cellStyle name="SAPBEXHLevel3X 7 10" xfId="16851" xr:uid="{00000000-0005-0000-0000-0000BD420000}"/>
    <cellStyle name="SAPBEXHLevel3X 7 2" xfId="16852" xr:uid="{00000000-0005-0000-0000-0000BE420000}"/>
    <cellStyle name="SAPBEXHLevel3X 7 2 2" xfId="16853" xr:uid="{00000000-0005-0000-0000-0000BF420000}"/>
    <cellStyle name="SAPBEXHLevel3X 7 2 3" xfId="16854" xr:uid="{00000000-0005-0000-0000-0000C0420000}"/>
    <cellStyle name="SAPBEXHLevel3X 7 2 4" xfId="16855" xr:uid="{00000000-0005-0000-0000-0000C1420000}"/>
    <cellStyle name="SAPBEXHLevel3X 7 2 5" xfId="27847" xr:uid="{00000000-0005-0000-0000-0000C2420000}"/>
    <cellStyle name="SAPBEXHLevel3X 7 3" xfId="16856" xr:uid="{00000000-0005-0000-0000-0000C3420000}"/>
    <cellStyle name="SAPBEXHLevel3X 7 3 2" xfId="16857" xr:uid="{00000000-0005-0000-0000-0000C4420000}"/>
    <cellStyle name="SAPBEXHLevel3X 7 3 3" xfId="16858" xr:uid="{00000000-0005-0000-0000-0000C5420000}"/>
    <cellStyle name="SAPBEXHLevel3X 7 3 4" xfId="16859" xr:uid="{00000000-0005-0000-0000-0000C6420000}"/>
    <cellStyle name="SAPBEXHLevel3X 7 4" xfId="16860" xr:uid="{00000000-0005-0000-0000-0000C7420000}"/>
    <cellStyle name="SAPBEXHLevel3X 7 4 2" xfId="16861" xr:uid="{00000000-0005-0000-0000-0000C8420000}"/>
    <cellStyle name="SAPBEXHLevel3X 7 4 3" xfId="16862" xr:uid="{00000000-0005-0000-0000-0000C9420000}"/>
    <cellStyle name="SAPBEXHLevel3X 7 4 4" xfId="16863" xr:uid="{00000000-0005-0000-0000-0000CA420000}"/>
    <cellStyle name="SAPBEXHLevel3X 7 5" xfId="16864" xr:uid="{00000000-0005-0000-0000-0000CB420000}"/>
    <cellStyle name="SAPBEXHLevel3X 7 5 2" xfId="16865" xr:uid="{00000000-0005-0000-0000-0000CC420000}"/>
    <cellStyle name="SAPBEXHLevel3X 7 5 3" xfId="16866" xr:uid="{00000000-0005-0000-0000-0000CD420000}"/>
    <cellStyle name="SAPBEXHLevel3X 7 5 4" xfId="16867" xr:uid="{00000000-0005-0000-0000-0000CE420000}"/>
    <cellStyle name="SAPBEXHLevel3X 7 6" xfId="16868" xr:uid="{00000000-0005-0000-0000-0000CF420000}"/>
    <cellStyle name="SAPBEXHLevel3X 7 7" xfId="16869" xr:uid="{00000000-0005-0000-0000-0000D0420000}"/>
    <cellStyle name="SAPBEXHLevel3X 7 8" xfId="16870" xr:uid="{00000000-0005-0000-0000-0000D1420000}"/>
    <cellStyle name="SAPBEXHLevel3X 7 9" xfId="16871" xr:uid="{00000000-0005-0000-0000-0000D2420000}"/>
    <cellStyle name="SAPBEXHLevel3X 70" xfId="16872" xr:uid="{00000000-0005-0000-0000-0000D3420000}"/>
    <cellStyle name="SAPBEXHLevel3X 71" xfId="16873" xr:uid="{00000000-0005-0000-0000-0000D4420000}"/>
    <cellStyle name="SAPBEXHLevel3X 72" xfId="16874" xr:uid="{00000000-0005-0000-0000-0000D5420000}"/>
    <cellStyle name="SAPBEXHLevel3X 73" xfId="16875" xr:uid="{00000000-0005-0000-0000-0000D6420000}"/>
    <cellStyle name="SAPBEXHLevel3X 74" xfId="16876" xr:uid="{00000000-0005-0000-0000-0000D7420000}"/>
    <cellStyle name="SAPBEXHLevel3X 75" xfId="16877" xr:uid="{00000000-0005-0000-0000-0000D8420000}"/>
    <cellStyle name="SAPBEXHLevel3X 76" xfId="16878" xr:uid="{00000000-0005-0000-0000-0000D9420000}"/>
    <cellStyle name="SAPBEXHLevel3X 77" xfId="16879" xr:uid="{00000000-0005-0000-0000-0000DA420000}"/>
    <cellStyle name="SAPBEXHLevel3X 78" xfId="16880" xr:uid="{00000000-0005-0000-0000-0000DB420000}"/>
    <cellStyle name="SAPBEXHLevel3X 79" xfId="16881" xr:uid="{00000000-0005-0000-0000-0000DC420000}"/>
    <cellStyle name="SAPBEXHLevel3X 8" xfId="16882" xr:uid="{00000000-0005-0000-0000-0000DD420000}"/>
    <cellStyle name="SAPBEXHLevel3X 8 2" xfId="16883" xr:uid="{00000000-0005-0000-0000-0000DE420000}"/>
    <cellStyle name="SAPBEXHLevel3X 8 3" xfId="16884" xr:uid="{00000000-0005-0000-0000-0000DF420000}"/>
    <cellStyle name="SAPBEXHLevel3X 8 4" xfId="16885" xr:uid="{00000000-0005-0000-0000-0000E0420000}"/>
    <cellStyle name="SAPBEXHLevel3X 8 5" xfId="16886" xr:uid="{00000000-0005-0000-0000-0000E1420000}"/>
    <cellStyle name="SAPBEXHLevel3X 8 6" xfId="16887" xr:uid="{00000000-0005-0000-0000-0000E2420000}"/>
    <cellStyle name="SAPBEXHLevel3X 80" xfId="16888" xr:uid="{00000000-0005-0000-0000-0000E3420000}"/>
    <cellStyle name="SAPBEXHLevel3X 81" xfId="16889" xr:uid="{00000000-0005-0000-0000-0000E4420000}"/>
    <cellStyle name="SAPBEXHLevel3X 82" xfId="16890" xr:uid="{00000000-0005-0000-0000-0000E5420000}"/>
    <cellStyle name="SAPBEXHLevel3X 83" xfId="16891" xr:uid="{00000000-0005-0000-0000-0000E6420000}"/>
    <cellStyle name="SAPBEXHLevel3X 84" xfId="16892" xr:uid="{00000000-0005-0000-0000-0000E7420000}"/>
    <cellStyle name="SAPBEXHLevel3X 85" xfId="16893" xr:uid="{00000000-0005-0000-0000-0000E8420000}"/>
    <cellStyle name="SAPBEXHLevel3X 86" xfId="16894" xr:uid="{00000000-0005-0000-0000-0000E9420000}"/>
    <cellStyle name="SAPBEXHLevel3X 87" xfId="16895" xr:uid="{00000000-0005-0000-0000-0000EA420000}"/>
    <cellStyle name="SAPBEXHLevel3X 88" xfId="16896" xr:uid="{00000000-0005-0000-0000-0000EB420000}"/>
    <cellStyle name="SAPBEXHLevel3X 89" xfId="16897" xr:uid="{00000000-0005-0000-0000-0000EC420000}"/>
    <cellStyle name="SAPBEXHLevel3X 9" xfId="16898" xr:uid="{00000000-0005-0000-0000-0000ED420000}"/>
    <cellStyle name="SAPBEXHLevel3X 9 2" xfId="16899" xr:uid="{00000000-0005-0000-0000-0000EE420000}"/>
    <cellStyle name="SAPBEXHLevel3X 9 3" xfId="16900" xr:uid="{00000000-0005-0000-0000-0000EF420000}"/>
    <cellStyle name="SAPBEXHLevel3X 9 4" xfId="16901" xr:uid="{00000000-0005-0000-0000-0000F0420000}"/>
    <cellStyle name="SAPBEXHLevel3X 9 5" xfId="16902" xr:uid="{00000000-0005-0000-0000-0000F1420000}"/>
    <cellStyle name="SAPBEXHLevel3X 9 6" xfId="16903" xr:uid="{00000000-0005-0000-0000-0000F2420000}"/>
    <cellStyle name="SAPBEXHLevel3X 90" xfId="16904" xr:uid="{00000000-0005-0000-0000-0000F3420000}"/>
    <cellStyle name="SAPBEXHLevel3X 91" xfId="16905" xr:uid="{00000000-0005-0000-0000-0000F4420000}"/>
    <cellStyle name="SAPBEXHLevel3X 92" xfId="16906" xr:uid="{00000000-0005-0000-0000-0000F5420000}"/>
    <cellStyle name="SAPBEXHLevel3X 93" xfId="16907" xr:uid="{00000000-0005-0000-0000-0000F6420000}"/>
    <cellStyle name="SAPBEXHLevel3X 94" xfId="16908" xr:uid="{00000000-0005-0000-0000-0000F7420000}"/>
    <cellStyle name="SAPBEXHLevel3X 95" xfId="16909" xr:uid="{00000000-0005-0000-0000-0000F8420000}"/>
    <cellStyle name="SAPBEXHLevel3X 96" xfId="16910" xr:uid="{00000000-0005-0000-0000-0000F9420000}"/>
    <cellStyle name="SAPBEXHLevel3X 97" xfId="16911" xr:uid="{00000000-0005-0000-0000-0000FA420000}"/>
    <cellStyle name="SAPBEXHLevel3X 98" xfId="16912" xr:uid="{00000000-0005-0000-0000-0000FB420000}"/>
    <cellStyle name="SAPBEXHLevel3X 99" xfId="16913" xr:uid="{00000000-0005-0000-0000-0000FC420000}"/>
    <cellStyle name="SAPBEXHLevel3X_2009 12 09 Cash flow (2009)" xfId="16914" xr:uid="{00000000-0005-0000-0000-0000FD420000}"/>
    <cellStyle name="SAPBEXinputData" xfId="16915" xr:uid="{00000000-0005-0000-0000-0000FE420000}"/>
    <cellStyle name="SAPBEXinputData 10" xfId="16916" xr:uid="{00000000-0005-0000-0000-0000FF420000}"/>
    <cellStyle name="SAPBEXinputData 10 2" xfId="16917" xr:uid="{00000000-0005-0000-0000-000000430000}"/>
    <cellStyle name="SAPBEXinputData 100" xfId="16918" xr:uid="{00000000-0005-0000-0000-000001430000}"/>
    <cellStyle name="SAPBEXinputData 101" xfId="16919" xr:uid="{00000000-0005-0000-0000-000002430000}"/>
    <cellStyle name="SAPBEXinputData 102" xfId="16920" xr:uid="{00000000-0005-0000-0000-000003430000}"/>
    <cellStyle name="SAPBEXinputData 103" xfId="16921" xr:uid="{00000000-0005-0000-0000-000004430000}"/>
    <cellStyle name="SAPBEXinputData 104" xfId="16922" xr:uid="{00000000-0005-0000-0000-000005430000}"/>
    <cellStyle name="SAPBEXinputData 105" xfId="16923" xr:uid="{00000000-0005-0000-0000-000006430000}"/>
    <cellStyle name="SAPBEXinputData 106" xfId="16924" xr:uid="{00000000-0005-0000-0000-000007430000}"/>
    <cellStyle name="SAPBEXinputData 107" xfId="16925" xr:uid="{00000000-0005-0000-0000-000008430000}"/>
    <cellStyle name="SAPBEXinputData 108" xfId="16926" xr:uid="{00000000-0005-0000-0000-000009430000}"/>
    <cellStyle name="SAPBEXinputData 109" xfId="16927" xr:uid="{00000000-0005-0000-0000-00000A430000}"/>
    <cellStyle name="SAPBEXinputData 11" xfId="16928" xr:uid="{00000000-0005-0000-0000-00000B430000}"/>
    <cellStyle name="SAPBEXinputData 11 2" xfId="27601" xr:uid="{00000000-0005-0000-0000-00000C430000}"/>
    <cellStyle name="SAPBEXinputData 11 3" xfId="27863" xr:uid="{00000000-0005-0000-0000-00000D430000}"/>
    <cellStyle name="SAPBEXinputData 110" xfId="16929" xr:uid="{00000000-0005-0000-0000-00000E430000}"/>
    <cellStyle name="SAPBEXinputData 111" xfId="16930" xr:uid="{00000000-0005-0000-0000-00000F430000}"/>
    <cellStyle name="SAPBEXinputData 112" xfId="16931" xr:uid="{00000000-0005-0000-0000-000010430000}"/>
    <cellStyle name="SAPBEXinputData 113" xfId="16932" xr:uid="{00000000-0005-0000-0000-000011430000}"/>
    <cellStyle name="SAPBEXinputData 114" xfId="16933" xr:uid="{00000000-0005-0000-0000-000012430000}"/>
    <cellStyle name="SAPBEXinputData 115" xfId="16934" xr:uid="{00000000-0005-0000-0000-000013430000}"/>
    <cellStyle name="SAPBEXinputData 116" xfId="16935" xr:uid="{00000000-0005-0000-0000-000014430000}"/>
    <cellStyle name="SAPBEXinputData 117" xfId="16936" xr:uid="{00000000-0005-0000-0000-000015430000}"/>
    <cellStyle name="SAPBEXinputData 118" xfId="16937" xr:uid="{00000000-0005-0000-0000-000016430000}"/>
    <cellStyle name="SAPBEXinputData 119" xfId="16938" xr:uid="{00000000-0005-0000-0000-000017430000}"/>
    <cellStyle name="SAPBEXinputData 12" xfId="16939" xr:uid="{00000000-0005-0000-0000-000018430000}"/>
    <cellStyle name="SAPBEXinputData 12 2" xfId="27616" xr:uid="{00000000-0005-0000-0000-000019430000}"/>
    <cellStyle name="SAPBEXinputData 120" xfId="16940" xr:uid="{00000000-0005-0000-0000-00001A430000}"/>
    <cellStyle name="SAPBEXinputData 121" xfId="16941" xr:uid="{00000000-0005-0000-0000-00001B430000}"/>
    <cellStyle name="SAPBEXinputData 122" xfId="16942" xr:uid="{00000000-0005-0000-0000-00001C430000}"/>
    <cellStyle name="SAPBEXinputData 123" xfId="16943" xr:uid="{00000000-0005-0000-0000-00001D430000}"/>
    <cellStyle name="SAPBEXinputData 124" xfId="16944" xr:uid="{00000000-0005-0000-0000-00001E430000}"/>
    <cellStyle name="SAPBEXinputData 125" xfId="16945" xr:uid="{00000000-0005-0000-0000-00001F430000}"/>
    <cellStyle name="SAPBEXinputData 126" xfId="16946" xr:uid="{00000000-0005-0000-0000-000020430000}"/>
    <cellStyle name="SAPBEXinputData 127" xfId="16947" xr:uid="{00000000-0005-0000-0000-000021430000}"/>
    <cellStyle name="SAPBEXinputData 128" xfId="16948" xr:uid="{00000000-0005-0000-0000-000022430000}"/>
    <cellStyle name="SAPBEXinputData 129" xfId="16949" xr:uid="{00000000-0005-0000-0000-000023430000}"/>
    <cellStyle name="SAPBEXinputData 13" xfId="16950" xr:uid="{00000000-0005-0000-0000-000024430000}"/>
    <cellStyle name="SAPBEXinputData 13 2" xfId="27631" xr:uid="{00000000-0005-0000-0000-000025430000}"/>
    <cellStyle name="SAPBEXinputData 130" xfId="16951" xr:uid="{00000000-0005-0000-0000-000026430000}"/>
    <cellStyle name="SAPBEXinputData 131" xfId="16952" xr:uid="{00000000-0005-0000-0000-000027430000}"/>
    <cellStyle name="SAPBEXinputData 132" xfId="16953" xr:uid="{00000000-0005-0000-0000-000028430000}"/>
    <cellStyle name="SAPBEXinputData 133" xfId="16954" xr:uid="{00000000-0005-0000-0000-000029430000}"/>
    <cellStyle name="SAPBEXinputData 134" xfId="16955" xr:uid="{00000000-0005-0000-0000-00002A430000}"/>
    <cellStyle name="SAPBEXinputData 135" xfId="16956" xr:uid="{00000000-0005-0000-0000-00002B430000}"/>
    <cellStyle name="SAPBEXinputData 136" xfId="16957" xr:uid="{00000000-0005-0000-0000-00002C430000}"/>
    <cellStyle name="SAPBEXinputData 137" xfId="16958" xr:uid="{00000000-0005-0000-0000-00002D430000}"/>
    <cellStyle name="SAPBEXinputData 138" xfId="16959" xr:uid="{00000000-0005-0000-0000-00002E430000}"/>
    <cellStyle name="SAPBEXinputData 139" xfId="16960" xr:uid="{00000000-0005-0000-0000-00002F430000}"/>
    <cellStyle name="SAPBEXinputData 14" xfId="16961" xr:uid="{00000000-0005-0000-0000-000030430000}"/>
    <cellStyle name="SAPBEXinputData 14 2" xfId="27643" xr:uid="{00000000-0005-0000-0000-000031430000}"/>
    <cellStyle name="SAPBEXinputData 140" xfId="16962" xr:uid="{00000000-0005-0000-0000-000032430000}"/>
    <cellStyle name="SAPBEXinputData 141" xfId="16963" xr:uid="{00000000-0005-0000-0000-000033430000}"/>
    <cellStyle name="SAPBEXinputData 142" xfId="16964" xr:uid="{00000000-0005-0000-0000-000034430000}"/>
    <cellStyle name="SAPBEXinputData 143" xfId="16965" xr:uid="{00000000-0005-0000-0000-000035430000}"/>
    <cellStyle name="SAPBEXinputData 144" xfId="16966" xr:uid="{00000000-0005-0000-0000-000036430000}"/>
    <cellStyle name="SAPBEXinputData 145" xfId="16967" xr:uid="{00000000-0005-0000-0000-000037430000}"/>
    <cellStyle name="SAPBEXinputData 146" xfId="27807" xr:uid="{00000000-0005-0000-0000-000038430000}"/>
    <cellStyle name="SAPBEXinputData 15" xfId="16968" xr:uid="{00000000-0005-0000-0000-000039430000}"/>
    <cellStyle name="SAPBEXinputData 15 2" xfId="27646" xr:uid="{00000000-0005-0000-0000-00003A430000}"/>
    <cellStyle name="SAPBEXinputData 16" xfId="16969" xr:uid="{00000000-0005-0000-0000-00003B430000}"/>
    <cellStyle name="SAPBEXinputData 16 2" xfId="27782" xr:uid="{00000000-0005-0000-0000-00003C430000}"/>
    <cellStyle name="SAPBEXinputData 17" xfId="16970" xr:uid="{00000000-0005-0000-0000-00003D430000}"/>
    <cellStyle name="SAPBEXinputData 18" xfId="16971" xr:uid="{00000000-0005-0000-0000-00003E430000}"/>
    <cellStyle name="SAPBEXinputData 19" xfId="16972" xr:uid="{00000000-0005-0000-0000-00003F430000}"/>
    <cellStyle name="SAPBEXinputData 2" xfId="16973" xr:uid="{00000000-0005-0000-0000-000040430000}"/>
    <cellStyle name="SAPBEXinputData 2 2" xfId="16974" xr:uid="{00000000-0005-0000-0000-000041430000}"/>
    <cellStyle name="SAPBEXinputData 2 3" xfId="16975" xr:uid="{00000000-0005-0000-0000-000042430000}"/>
    <cellStyle name="SAPBEXinputData 2 4" xfId="16976" xr:uid="{00000000-0005-0000-0000-000043430000}"/>
    <cellStyle name="SAPBEXinputData 2 5" xfId="16977" xr:uid="{00000000-0005-0000-0000-000044430000}"/>
    <cellStyle name="SAPBEXinputData 2 6" xfId="16978" xr:uid="{00000000-0005-0000-0000-000045430000}"/>
    <cellStyle name="SAPBEXinputData 2 7" xfId="16979" xr:uid="{00000000-0005-0000-0000-000046430000}"/>
    <cellStyle name="SAPBEXinputData 20" xfId="16980" xr:uid="{00000000-0005-0000-0000-000047430000}"/>
    <cellStyle name="SAPBEXinputData 21" xfId="16981" xr:uid="{00000000-0005-0000-0000-000048430000}"/>
    <cellStyle name="SAPBEXinputData 22" xfId="16982" xr:uid="{00000000-0005-0000-0000-000049430000}"/>
    <cellStyle name="SAPBEXinputData 23" xfId="16983" xr:uid="{00000000-0005-0000-0000-00004A430000}"/>
    <cellStyle name="SAPBEXinputData 24" xfId="16984" xr:uid="{00000000-0005-0000-0000-00004B430000}"/>
    <cellStyle name="SAPBEXinputData 25" xfId="16985" xr:uid="{00000000-0005-0000-0000-00004C430000}"/>
    <cellStyle name="SAPBEXinputData 26" xfId="16986" xr:uid="{00000000-0005-0000-0000-00004D430000}"/>
    <cellStyle name="SAPBEXinputData 27" xfId="16987" xr:uid="{00000000-0005-0000-0000-00004E430000}"/>
    <cellStyle name="SAPBEXinputData 28" xfId="16988" xr:uid="{00000000-0005-0000-0000-00004F430000}"/>
    <cellStyle name="SAPBEXinputData 29" xfId="16989" xr:uid="{00000000-0005-0000-0000-000050430000}"/>
    <cellStyle name="SAPBEXinputData 3" xfId="16990" xr:uid="{00000000-0005-0000-0000-000051430000}"/>
    <cellStyle name="SAPBEXinputData 3 2" xfId="16991" xr:uid="{00000000-0005-0000-0000-000052430000}"/>
    <cellStyle name="SAPBEXinputData 3 3" xfId="16992" xr:uid="{00000000-0005-0000-0000-000053430000}"/>
    <cellStyle name="SAPBEXinputData 3 4" xfId="16993" xr:uid="{00000000-0005-0000-0000-000054430000}"/>
    <cellStyle name="SAPBEXinputData 3 5" xfId="16994" xr:uid="{00000000-0005-0000-0000-000055430000}"/>
    <cellStyle name="SAPBEXinputData 3 6" xfId="16995" xr:uid="{00000000-0005-0000-0000-000056430000}"/>
    <cellStyle name="SAPBEXinputData 3 7" xfId="16996" xr:uid="{00000000-0005-0000-0000-000057430000}"/>
    <cellStyle name="SAPBEXinputData 30" xfId="16997" xr:uid="{00000000-0005-0000-0000-000058430000}"/>
    <cellStyle name="SAPBEXinputData 31" xfId="16998" xr:uid="{00000000-0005-0000-0000-000059430000}"/>
    <cellStyle name="SAPBEXinputData 32" xfId="16999" xr:uid="{00000000-0005-0000-0000-00005A430000}"/>
    <cellStyle name="SAPBEXinputData 33" xfId="17000" xr:uid="{00000000-0005-0000-0000-00005B430000}"/>
    <cellStyle name="SAPBEXinputData 34" xfId="17001" xr:uid="{00000000-0005-0000-0000-00005C430000}"/>
    <cellStyle name="SAPBEXinputData 35" xfId="17002" xr:uid="{00000000-0005-0000-0000-00005D430000}"/>
    <cellStyle name="SAPBEXinputData 36" xfId="17003" xr:uid="{00000000-0005-0000-0000-00005E430000}"/>
    <cellStyle name="SAPBEXinputData 37" xfId="17004" xr:uid="{00000000-0005-0000-0000-00005F430000}"/>
    <cellStyle name="SAPBEXinputData 38" xfId="17005" xr:uid="{00000000-0005-0000-0000-000060430000}"/>
    <cellStyle name="SAPBEXinputData 39" xfId="17006" xr:uid="{00000000-0005-0000-0000-000061430000}"/>
    <cellStyle name="SAPBEXinputData 4" xfId="17007" xr:uid="{00000000-0005-0000-0000-000062430000}"/>
    <cellStyle name="SAPBEXinputData 4 2" xfId="17008" xr:uid="{00000000-0005-0000-0000-000063430000}"/>
    <cellStyle name="SAPBEXinputData 4 3" xfId="17009" xr:uid="{00000000-0005-0000-0000-000064430000}"/>
    <cellStyle name="SAPBEXinputData 4 4" xfId="17010" xr:uid="{00000000-0005-0000-0000-000065430000}"/>
    <cellStyle name="SAPBEXinputData 4 5" xfId="17011" xr:uid="{00000000-0005-0000-0000-000066430000}"/>
    <cellStyle name="SAPBEXinputData 4 6" xfId="17012" xr:uid="{00000000-0005-0000-0000-000067430000}"/>
    <cellStyle name="SAPBEXinputData 40" xfId="17013" xr:uid="{00000000-0005-0000-0000-000068430000}"/>
    <cellStyle name="SAPBEXinputData 41" xfId="17014" xr:uid="{00000000-0005-0000-0000-000069430000}"/>
    <cellStyle name="SAPBEXinputData 42" xfId="17015" xr:uid="{00000000-0005-0000-0000-00006A430000}"/>
    <cellStyle name="SAPBEXinputData 43" xfId="17016" xr:uid="{00000000-0005-0000-0000-00006B430000}"/>
    <cellStyle name="SAPBEXinputData 44" xfId="17017" xr:uid="{00000000-0005-0000-0000-00006C430000}"/>
    <cellStyle name="SAPBEXinputData 45" xfId="17018" xr:uid="{00000000-0005-0000-0000-00006D430000}"/>
    <cellStyle name="SAPBEXinputData 46" xfId="17019" xr:uid="{00000000-0005-0000-0000-00006E430000}"/>
    <cellStyle name="SAPBEXinputData 47" xfId="17020" xr:uid="{00000000-0005-0000-0000-00006F430000}"/>
    <cellStyle name="SAPBEXinputData 48" xfId="17021" xr:uid="{00000000-0005-0000-0000-000070430000}"/>
    <cellStyle name="SAPBEXinputData 49" xfId="17022" xr:uid="{00000000-0005-0000-0000-000071430000}"/>
    <cellStyle name="SAPBEXinputData 5" xfId="17023" xr:uid="{00000000-0005-0000-0000-000072430000}"/>
    <cellStyle name="SAPBEXinputData 5 2" xfId="17024" xr:uid="{00000000-0005-0000-0000-000073430000}"/>
    <cellStyle name="SAPBEXinputData 5 3" xfId="17025" xr:uid="{00000000-0005-0000-0000-000074430000}"/>
    <cellStyle name="SAPBEXinputData 5 4" xfId="17026" xr:uid="{00000000-0005-0000-0000-000075430000}"/>
    <cellStyle name="SAPBEXinputData 5 5" xfId="17027" xr:uid="{00000000-0005-0000-0000-000076430000}"/>
    <cellStyle name="SAPBEXinputData 5 6" xfId="17028" xr:uid="{00000000-0005-0000-0000-000077430000}"/>
    <cellStyle name="SAPBEXinputData 50" xfId="17029" xr:uid="{00000000-0005-0000-0000-000078430000}"/>
    <cellStyle name="SAPBEXinputData 51" xfId="17030" xr:uid="{00000000-0005-0000-0000-000079430000}"/>
    <cellStyle name="SAPBEXinputData 52" xfId="17031" xr:uid="{00000000-0005-0000-0000-00007A430000}"/>
    <cellStyle name="SAPBEXinputData 53" xfId="17032" xr:uid="{00000000-0005-0000-0000-00007B430000}"/>
    <cellStyle name="SAPBEXinputData 54" xfId="17033" xr:uid="{00000000-0005-0000-0000-00007C430000}"/>
    <cellStyle name="SAPBEXinputData 55" xfId="17034" xr:uid="{00000000-0005-0000-0000-00007D430000}"/>
    <cellStyle name="SAPBEXinputData 56" xfId="17035" xr:uid="{00000000-0005-0000-0000-00007E430000}"/>
    <cellStyle name="SAPBEXinputData 57" xfId="17036" xr:uid="{00000000-0005-0000-0000-00007F430000}"/>
    <cellStyle name="SAPBEXinputData 58" xfId="17037" xr:uid="{00000000-0005-0000-0000-000080430000}"/>
    <cellStyle name="SAPBEXinputData 59" xfId="17038" xr:uid="{00000000-0005-0000-0000-000081430000}"/>
    <cellStyle name="SAPBEXinputData 6" xfId="17039" xr:uid="{00000000-0005-0000-0000-000082430000}"/>
    <cellStyle name="SAPBEXinputData 6 2" xfId="17040" xr:uid="{00000000-0005-0000-0000-000083430000}"/>
    <cellStyle name="SAPBEXinputData 6 2 2" xfId="27843" xr:uid="{00000000-0005-0000-0000-000084430000}"/>
    <cellStyle name="SAPBEXinputData 6 3" xfId="17041" xr:uid="{00000000-0005-0000-0000-000085430000}"/>
    <cellStyle name="SAPBEXinputData 60" xfId="17042" xr:uid="{00000000-0005-0000-0000-000086430000}"/>
    <cellStyle name="SAPBEXinputData 61" xfId="17043" xr:uid="{00000000-0005-0000-0000-000087430000}"/>
    <cellStyle name="SAPBEXinputData 62" xfId="17044" xr:uid="{00000000-0005-0000-0000-000088430000}"/>
    <cellStyle name="SAPBEXinputData 63" xfId="17045" xr:uid="{00000000-0005-0000-0000-000089430000}"/>
    <cellStyle name="SAPBEXinputData 64" xfId="17046" xr:uid="{00000000-0005-0000-0000-00008A430000}"/>
    <cellStyle name="SAPBEXinputData 65" xfId="17047" xr:uid="{00000000-0005-0000-0000-00008B430000}"/>
    <cellStyle name="SAPBEXinputData 66" xfId="17048" xr:uid="{00000000-0005-0000-0000-00008C430000}"/>
    <cellStyle name="SAPBEXinputData 67" xfId="17049" xr:uid="{00000000-0005-0000-0000-00008D430000}"/>
    <cellStyle name="SAPBEXinputData 68" xfId="17050" xr:uid="{00000000-0005-0000-0000-00008E430000}"/>
    <cellStyle name="SAPBEXinputData 69" xfId="17051" xr:uid="{00000000-0005-0000-0000-00008F430000}"/>
    <cellStyle name="SAPBEXinputData 7" xfId="17052" xr:uid="{00000000-0005-0000-0000-000090430000}"/>
    <cellStyle name="SAPBEXinputData 7 2" xfId="17053" xr:uid="{00000000-0005-0000-0000-000091430000}"/>
    <cellStyle name="SAPBEXinputData 7 2 2" xfId="27848" xr:uid="{00000000-0005-0000-0000-000092430000}"/>
    <cellStyle name="SAPBEXinputData 7 3" xfId="17054" xr:uid="{00000000-0005-0000-0000-000093430000}"/>
    <cellStyle name="SAPBEXinputData 70" xfId="17055" xr:uid="{00000000-0005-0000-0000-000094430000}"/>
    <cellStyle name="SAPBEXinputData 71" xfId="17056" xr:uid="{00000000-0005-0000-0000-000095430000}"/>
    <cellStyle name="SAPBEXinputData 72" xfId="17057" xr:uid="{00000000-0005-0000-0000-000096430000}"/>
    <cellStyle name="SAPBEXinputData 73" xfId="17058" xr:uid="{00000000-0005-0000-0000-000097430000}"/>
    <cellStyle name="SAPBEXinputData 74" xfId="17059" xr:uid="{00000000-0005-0000-0000-000098430000}"/>
    <cellStyle name="SAPBEXinputData 75" xfId="17060" xr:uid="{00000000-0005-0000-0000-000099430000}"/>
    <cellStyle name="SAPBEXinputData 76" xfId="17061" xr:uid="{00000000-0005-0000-0000-00009A430000}"/>
    <cellStyle name="SAPBEXinputData 77" xfId="17062" xr:uid="{00000000-0005-0000-0000-00009B430000}"/>
    <cellStyle name="SAPBEXinputData 78" xfId="17063" xr:uid="{00000000-0005-0000-0000-00009C430000}"/>
    <cellStyle name="SAPBEXinputData 79" xfId="17064" xr:uid="{00000000-0005-0000-0000-00009D430000}"/>
    <cellStyle name="SAPBEXinputData 8" xfId="17065" xr:uid="{00000000-0005-0000-0000-00009E430000}"/>
    <cellStyle name="SAPBEXinputData 8 2" xfId="17066" xr:uid="{00000000-0005-0000-0000-00009F430000}"/>
    <cellStyle name="SAPBEXinputData 80" xfId="17067" xr:uid="{00000000-0005-0000-0000-0000A0430000}"/>
    <cellStyle name="SAPBEXinputData 81" xfId="17068" xr:uid="{00000000-0005-0000-0000-0000A1430000}"/>
    <cellStyle name="SAPBEXinputData 82" xfId="17069" xr:uid="{00000000-0005-0000-0000-0000A2430000}"/>
    <cellStyle name="SAPBEXinputData 83" xfId="17070" xr:uid="{00000000-0005-0000-0000-0000A3430000}"/>
    <cellStyle name="SAPBEXinputData 84" xfId="17071" xr:uid="{00000000-0005-0000-0000-0000A4430000}"/>
    <cellStyle name="SAPBEXinputData 85" xfId="17072" xr:uid="{00000000-0005-0000-0000-0000A5430000}"/>
    <cellStyle name="SAPBEXinputData 86" xfId="17073" xr:uid="{00000000-0005-0000-0000-0000A6430000}"/>
    <cellStyle name="SAPBEXinputData 87" xfId="17074" xr:uid="{00000000-0005-0000-0000-0000A7430000}"/>
    <cellStyle name="SAPBEXinputData 88" xfId="17075" xr:uid="{00000000-0005-0000-0000-0000A8430000}"/>
    <cellStyle name="SAPBEXinputData 89" xfId="17076" xr:uid="{00000000-0005-0000-0000-0000A9430000}"/>
    <cellStyle name="SAPBEXinputData 9" xfId="17077" xr:uid="{00000000-0005-0000-0000-0000AA430000}"/>
    <cellStyle name="SAPBEXinputData 9 2" xfId="17078" xr:uid="{00000000-0005-0000-0000-0000AB430000}"/>
    <cellStyle name="SAPBEXinputData 90" xfId="17079" xr:uid="{00000000-0005-0000-0000-0000AC430000}"/>
    <cellStyle name="SAPBEXinputData 91" xfId="17080" xr:uid="{00000000-0005-0000-0000-0000AD430000}"/>
    <cellStyle name="SAPBEXinputData 92" xfId="17081" xr:uid="{00000000-0005-0000-0000-0000AE430000}"/>
    <cellStyle name="SAPBEXinputData 93" xfId="17082" xr:uid="{00000000-0005-0000-0000-0000AF430000}"/>
    <cellStyle name="SAPBEXinputData 94" xfId="17083" xr:uid="{00000000-0005-0000-0000-0000B0430000}"/>
    <cellStyle name="SAPBEXinputData 95" xfId="17084" xr:uid="{00000000-0005-0000-0000-0000B1430000}"/>
    <cellStyle name="SAPBEXinputData 96" xfId="17085" xr:uid="{00000000-0005-0000-0000-0000B2430000}"/>
    <cellStyle name="SAPBEXinputData 97" xfId="17086" xr:uid="{00000000-0005-0000-0000-0000B3430000}"/>
    <cellStyle name="SAPBEXinputData 98" xfId="17087" xr:uid="{00000000-0005-0000-0000-0000B4430000}"/>
    <cellStyle name="SAPBEXinputData 99" xfId="17088" xr:uid="{00000000-0005-0000-0000-0000B5430000}"/>
    <cellStyle name="SAPBEXinputData_Receipts" xfId="17089" xr:uid="{00000000-0005-0000-0000-0000B6430000}"/>
    <cellStyle name="SAPBEXItemHeader" xfId="17090" xr:uid="{00000000-0005-0000-0000-0000B7430000}"/>
    <cellStyle name="SAPBEXItemHeader 10" xfId="27930" xr:uid="{00000000-0005-0000-0000-0000B8430000}"/>
    <cellStyle name="SAPBEXItemHeader 11" xfId="28030" xr:uid="{00000000-0005-0000-0000-0000B9430000}"/>
    <cellStyle name="SAPBEXItemHeader 2" xfId="17091" xr:uid="{00000000-0005-0000-0000-0000BA430000}"/>
    <cellStyle name="SAPBEXItemHeader 2 2" xfId="17092" xr:uid="{00000000-0005-0000-0000-0000BB430000}"/>
    <cellStyle name="SAPBEXItemHeader 2 3" xfId="17093" xr:uid="{00000000-0005-0000-0000-0000BC430000}"/>
    <cellStyle name="SAPBEXItemHeader 2 4" xfId="17094" xr:uid="{00000000-0005-0000-0000-0000BD430000}"/>
    <cellStyle name="SAPBEXItemHeader 2 5" xfId="17095" xr:uid="{00000000-0005-0000-0000-0000BE430000}"/>
    <cellStyle name="SAPBEXItemHeader 2 6" xfId="17096" xr:uid="{00000000-0005-0000-0000-0000BF430000}"/>
    <cellStyle name="SAPBEXItemHeader 3" xfId="17097" xr:uid="{00000000-0005-0000-0000-0000C0430000}"/>
    <cellStyle name="SAPBEXItemHeader 3 2" xfId="17098" xr:uid="{00000000-0005-0000-0000-0000C1430000}"/>
    <cellStyle name="SAPBEXItemHeader 3 3" xfId="17099" xr:uid="{00000000-0005-0000-0000-0000C2430000}"/>
    <cellStyle name="SAPBEXItemHeader 3 4" xfId="17100" xr:uid="{00000000-0005-0000-0000-0000C3430000}"/>
    <cellStyle name="SAPBEXItemHeader 3 5" xfId="17101" xr:uid="{00000000-0005-0000-0000-0000C4430000}"/>
    <cellStyle name="SAPBEXItemHeader 3 6" xfId="17102" xr:uid="{00000000-0005-0000-0000-0000C5430000}"/>
    <cellStyle name="SAPBEXItemHeader 4" xfId="17103" xr:uid="{00000000-0005-0000-0000-0000C6430000}"/>
    <cellStyle name="SAPBEXItemHeader 4 2" xfId="17104" xr:uid="{00000000-0005-0000-0000-0000C7430000}"/>
    <cellStyle name="SAPBEXItemHeader 4 3" xfId="17105" xr:uid="{00000000-0005-0000-0000-0000C8430000}"/>
    <cellStyle name="SAPBEXItemHeader 4 4" xfId="17106" xr:uid="{00000000-0005-0000-0000-0000C9430000}"/>
    <cellStyle name="SAPBEXItemHeader 4 5" xfId="17107" xr:uid="{00000000-0005-0000-0000-0000CA430000}"/>
    <cellStyle name="SAPBEXItemHeader 4 6" xfId="17108" xr:uid="{00000000-0005-0000-0000-0000CB430000}"/>
    <cellStyle name="SAPBEXItemHeader 5" xfId="17109" xr:uid="{00000000-0005-0000-0000-0000CC430000}"/>
    <cellStyle name="SAPBEXItemHeader 5 2" xfId="17110" xr:uid="{00000000-0005-0000-0000-0000CD430000}"/>
    <cellStyle name="SAPBEXItemHeader 5 3" xfId="17111" xr:uid="{00000000-0005-0000-0000-0000CE430000}"/>
    <cellStyle name="SAPBEXItemHeader 5 4" xfId="17112" xr:uid="{00000000-0005-0000-0000-0000CF430000}"/>
    <cellStyle name="SAPBEXItemHeader 5 5" xfId="17113" xr:uid="{00000000-0005-0000-0000-0000D0430000}"/>
    <cellStyle name="SAPBEXItemHeader 5 6" xfId="17114" xr:uid="{00000000-0005-0000-0000-0000D1430000}"/>
    <cellStyle name="SAPBEXItemHeader 6" xfId="17115" xr:uid="{00000000-0005-0000-0000-0000D2430000}"/>
    <cellStyle name="SAPBEXItemHeader 6 2" xfId="17116" xr:uid="{00000000-0005-0000-0000-0000D3430000}"/>
    <cellStyle name="SAPBEXItemHeader 6 3" xfId="17117" xr:uid="{00000000-0005-0000-0000-0000D4430000}"/>
    <cellStyle name="SAPBEXItemHeader 6 4" xfId="17118" xr:uid="{00000000-0005-0000-0000-0000D5430000}"/>
    <cellStyle name="SAPBEXItemHeader 6 5" xfId="17119" xr:uid="{00000000-0005-0000-0000-0000D6430000}"/>
    <cellStyle name="SAPBEXItemHeader 6 6" xfId="17120" xr:uid="{00000000-0005-0000-0000-0000D7430000}"/>
    <cellStyle name="SAPBEXItemHeader 7" xfId="17121" xr:uid="{00000000-0005-0000-0000-0000D8430000}"/>
    <cellStyle name="SAPBEXItemHeader 7 2" xfId="17122" xr:uid="{00000000-0005-0000-0000-0000D9430000}"/>
    <cellStyle name="SAPBEXItemHeader 7 3" xfId="17123" xr:uid="{00000000-0005-0000-0000-0000DA430000}"/>
    <cellStyle name="SAPBEXItemHeader 7 4" xfId="17124" xr:uid="{00000000-0005-0000-0000-0000DB430000}"/>
    <cellStyle name="SAPBEXItemHeader 7 5" xfId="17125" xr:uid="{00000000-0005-0000-0000-0000DC430000}"/>
    <cellStyle name="SAPBEXItemHeader 7 6" xfId="17126" xr:uid="{00000000-0005-0000-0000-0000DD430000}"/>
    <cellStyle name="SAPBEXItemHeader 8" xfId="17127" xr:uid="{00000000-0005-0000-0000-0000DE430000}"/>
    <cellStyle name="SAPBEXItemHeader 8 2" xfId="17128" xr:uid="{00000000-0005-0000-0000-0000DF430000}"/>
    <cellStyle name="SAPBEXItemHeader 8 3" xfId="17129" xr:uid="{00000000-0005-0000-0000-0000E0430000}"/>
    <cellStyle name="SAPBEXItemHeader 8 4" xfId="17130" xr:uid="{00000000-0005-0000-0000-0000E1430000}"/>
    <cellStyle name="SAPBEXItemHeader 8 5" xfId="17131" xr:uid="{00000000-0005-0000-0000-0000E2430000}"/>
    <cellStyle name="SAPBEXItemHeader 8 6" xfId="17132" xr:uid="{00000000-0005-0000-0000-0000E3430000}"/>
    <cellStyle name="SAPBEXItemHeader 9" xfId="17133" xr:uid="{00000000-0005-0000-0000-0000E4430000}"/>
    <cellStyle name="SAPBEXresData" xfId="17134" xr:uid="{00000000-0005-0000-0000-0000E5430000}"/>
    <cellStyle name="SAPBEXresData 10" xfId="17135" xr:uid="{00000000-0005-0000-0000-0000E6430000}"/>
    <cellStyle name="SAPBEXresData 10 2" xfId="17136" xr:uid="{00000000-0005-0000-0000-0000E7430000}"/>
    <cellStyle name="SAPBEXresData 10 3" xfId="17137" xr:uid="{00000000-0005-0000-0000-0000E8430000}"/>
    <cellStyle name="SAPBEXresData 10 4" xfId="17138" xr:uid="{00000000-0005-0000-0000-0000E9430000}"/>
    <cellStyle name="SAPBEXresData 10 5" xfId="17139" xr:uid="{00000000-0005-0000-0000-0000EA430000}"/>
    <cellStyle name="SAPBEXresData 10 6" xfId="17140" xr:uid="{00000000-0005-0000-0000-0000EB430000}"/>
    <cellStyle name="SAPBEXresData 11" xfId="17141" xr:uid="{00000000-0005-0000-0000-0000EC430000}"/>
    <cellStyle name="SAPBEXresData 11 2" xfId="17142" xr:uid="{00000000-0005-0000-0000-0000ED430000}"/>
    <cellStyle name="SAPBEXresData 11 3" xfId="17143" xr:uid="{00000000-0005-0000-0000-0000EE430000}"/>
    <cellStyle name="SAPBEXresData 11 4" xfId="17144" xr:uid="{00000000-0005-0000-0000-0000EF430000}"/>
    <cellStyle name="SAPBEXresData 11 5" xfId="17145" xr:uid="{00000000-0005-0000-0000-0000F0430000}"/>
    <cellStyle name="SAPBEXresData 11 6" xfId="17146" xr:uid="{00000000-0005-0000-0000-0000F1430000}"/>
    <cellStyle name="SAPBEXresData 12" xfId="17147" xr:uid="{00000000-0005-0000-0000-0000F2430000}"/>
    <cellStyle name="SAPBEXresData 12 2" xfId="17148" xr:uid="{00000000-0005-0000-0000-0000F3430000}"/>
    <cellStyle name="SAPBEXresData 12 3" xfId="17149" xr:uid="{00000000-0005-0000-0000-0000F4430000}"/>
    <cellStyle name="SAPBEXresData 12 4" xfId="17150" xr:uid="{00000000-0005-0000-0000-0000F5430000}"/>
    <cellStyle name="SAPBEXresData 12 5" xfId="17151" xr:uid="{00000000-0005-0000-0000-0000F6430000}"/>
    <cellStyle name="SAPBEXresData 12 6" xfId="17152" xr:uid="{00000000-0005-0000-0000-0000F7430000}"/>
    <cellStyle name="SAPBEXresData 13" xfId="17153" xr:uid="{00000000-0005-0000-0000-0000F8430000}"/>
    <cellStyle name="SAPBEXresData 13 2" xfId="17154" xr:uid="{00000000-0005-0000-0000-0000F9430000}"/>
    <cellStyle name="SAPBEXresData 13 3" xfId="17155" xr:uid="{00000000-0005-0000-0000-0000FA430000}"/>
    <cellStyle name="SAPBEXresData 13 4" xfId="17156" xr:uid="{00000000-0005-0000-0000-0000FB430000}"/>
    <cellStyle name="SAPBEXresData 13 5" xfId="17157" xr:uid="{00000000-0005-0000-0000-0000FC430000}"/>
    <cellStyle name="SAPBEXresData 13 6" xfId="17158" xr:uid="{00000000-0005-0000-0000-0000FD430000}"/>
    <cellStyle name="SAPBEXresData 14" xfId="17159" xr:uid="{00000000-0005-0000-0000-0000FE430000}"/>
    <cellStyle name="SAPBEXresData 14 2" xfId="17160" xr:uid="{00000000-0005-0000-0000-0000FF430000}"/>
    <cellStyle name="SAPBEXresData 14 3" xfId="17161" xr:uid="{00000000-0005-0000-0000-000000440000}"/>
    <cellStyle name="SAPBEXresData 14 4" xfId="17162" xr:uid="{00000000-0005-0000-0000-000001440000}"/>
    <cellStyle name="SAPBEXresData 14 5" xfId="17163" xr:uid="{00000000-0005-0000-0000-000002440000}"/>
    <cellStyle name="SAPBEXresData 14 6" xfId="17164" xr:uid="{00000000-0005-0000-0000-000003440000}"/>
    <cellStyle name="SAPBEXresData 15" xfId="17165" xr:uid="{00000000-0005-0000-0000-000004440000}"/>
    <cellStyle name="SAPBEXresData 15 2" xfId="17166" xr:uid="{00000000-0005-0000-0000-000005440000}"/>
    <cellStyle name="SAPBEXresData 15 3" xfId="17167" xr:uid="{00000000-0005-0000-0000-000006440000}"/>
    <cellStyle name="SAPBEXresData 15 4" xfId="17168" xr:uid="{00000000-0005-0000-0000-000007440000}"/>
    <cellStyle name="SAPBEXresData 15 5" xfId="17169" xr:uid="{00000000-0005-0000-0000-000008440000}"/>
    <cellStyle name="SAPBEXresData 15 6" xfId="17170" xr:uid="{00000000-0005-0000-0000-000009440000}"/>
    <cellStyle name="SAPBEXresData 16" xfId="17171" xr:uid="{00000000-0005-0000-0000-00000A440000}"/>
    <cellStyle name="SAPBEXresData 16 2" xfId="17172" xr:uid="{00000000-0005-0000-0000-00000B440000}"/>
    <cellStyle name="SAPBEXresData 16 3" xfId="17173" xr:uid="{00000000-0005-0000-0000-00000C440000}"/>
    <cellStyle name="SAPBEXresData 16 4" xfId="17174" xr:uid="{00000000-0005-0000-0000-00000D440000}"/>
    <cellStyle name="SAPBEXresData 16 5" xfId="17175" xr:uid="{00000000-0005-0000-0000-00000E440000}"/>
    <cellStyle name="SAPBEXresData 16 6" xfId="17176" xr:uid="{00000000-0005-0000-0000-00000F440000}"/>
    <cellStyle name="SAPBEXresData 17" xfId="17177" xr:uid="{00000000-0005-0000-0000-000010440000}"/>
    <cellStyle name="SAPBEXresData 17 2" xfId="17178" xr:uid="{00000000-0005-0000-0000-000011440000}"/>
    <cellStyle name="SAPBEXresData 17 3" xfId="17179" xr:uid="{00000000-0005-0000-0000-000012440000}"/>
    <cellStyle name="SAPBEXresData 17 4" xfId="17180" xr:uid="{00000000-0005-0000-0000-000013440000}"/>
    <cellStyle name="SAPBEXresData 17 5" xfId="17181" xr:uid="{00000000-0005-0000-0000-000014440000}"/>
    <cellStyle name="SAPBEXresData 17 6" xfId="17182" xr:uid="{00000000-0005-0000-0000-000015440000}"/>
    <cellStyle name="SAPBEXresData 18" xfId="17183" xr:uid="{00000000-0005-0000-0000-000016440000}"/>
    <cellStyle name="SAPBEXresData 18 2" xfId="17184" xr:uid="{00000000-0005-0000-0000-000017440000}"/>
    <cellStyle name="SAPBEXresData 18 3" xfId="17185" xr:uid="{00000000-0005-0000-0000-000018440000}"/>
    <cellStyle name="SAPBEXresData 18 4" xfId="17186" xr:uid="{00000000-0005-0000-0000-000019440000}"/>
    <cellStyle name="SAPBEXresData 18 5" xfId="17187" xr:uid="{00000000-0005-0000-0000-00001A440000}"/>
    <cellStyle name="SAPBEXresData 18 6" xfId="17188" xr:uid="{00000000-0005-0000-0000-00001B440000}"/>
    <cellStyle name="SAPBEXresData 19" xfId="17189" xr:uid="{00000000-0005-0000-0000-00001C440000}"/>
    <cellStyle name="SAPBEXresData 19 2" xfId="17190" xr:uid="{00000000-0005-0000-0000-00001D440000}"/>
    <cellStyle name="SAPBEXresData 19 3" xfId="17191" xr:uid="{00000000-0005-0000-0000-00001E440000}"/>
    <cellStyle name="SAPBEXresData 19 4" xfId="17192" xr:uid="{00000000-0005-0000-0000-00001F440000}"/>
    <cellStyle name="SAPBEXresData 19 5" xfId="17193" xr:uid="{00000000-0005-0000-0000-000020440000}"/>
    <cellStyle name="SAPBEXresData 19 6" xfId="17194" xr:uid="{00000000-0005-0000-0000-000021440000}"/>
    <cellStyle name="SAPBEXresData 2" xfId="17195" xr:uid="{00000000-0005-0000-0000-000022440000}"/>
    <cellStyle name="SAPBEXresData 2 10" xfId="17196" xr:uid="{00000000-0005-0000-0000-000023440000}"/>
    <cellStyle name="SAPBEXresData 2 10 2" xfId="17197" xr:uid="{00000000-0005-0000-0000-000024440000}"/>
    <cellStyle name="SAPBEXresData 2 10 3" xfId="17198" xr:uid="{00000000-0005-0000-0000-000025440000}"/>
    <cellStyle name="SAPBEXresData 2 10 4" xfId="17199" xr:uid="{00000000-0005-0000-0000-000026440000}"/>
    <cellStyle name="SAPBEXresData 2 11" xfId="17200" xr:uid="{00000000-0005-0000-0000-000027440000}"/>
    <cellStyle name="SAPBEXresData 2 11 2" xfId="17201" xr:uid="{00000000-0005-0000-0000-000028440000}"/>
    <cellStyle name="SAPBEXresData 2 11 3" xfId="17202" xr:uid="{00000000-0005-0000-0000-000029440000}"/>
    <cellStyle name="SAPBEXresData 2 11 4" xfId="17203" xr:uid="{00000000-0005-0000-0000-00002A440000}"/>
    <cellStyle name="SAPBEXresData 2 12" xfId="17204" xr:uid="{00000000-0005-0000-0000-00002B440000}"/>
    <cellStyle name="SAPBEXresData 2 12 2" xfId="17205" xr:uid="{00000000-0005-0000-0000-00002C440000}"/>
    <cellStyle name="SAPBEXresData 2 12 3" xfId="17206" xr:uid="{00000000-0005-0000-0000-00002D440000}"/>
    <cellStyle name="SAPBEXresData 2 12 4" xfId="17207" xr:uid="{00000000-0005-0000-0000-00002E440000}"/>
    <cellStyle name="SAPBEXresData 2 13" xfId="17208" xr:uid="{00000000-0005-0000-0000-00002F440000}"/>
    <cellStyle name="SAPBEXresData 2 13 2" xfId="17209" xr:uid="{00000000-0005-0000-0000-000030440000}"/>
    <cellStyle name="SAPBEXresData 2 13 3" xfId="17210" xr:uid="{00000000-0005-0000-0000-000031440000}"/>
    <cellStyle name="SAPBEXresData 2 13 4" xfId="17211" xr:uid="{00000000-0005-0000-0000-000032440000}"/>
    <cellStyle name="SAPBEXresData 2 14" xfId="17212" xr:uid="{00000000-0005-0000-0000-000033440000}"/>
    <cellStyle name="SAPBEXresData 2 15" xfId="17213" xr:uid="{00000000-0005-0000-0000-000034440000}"/>
    <cellStyle name="SAPBEXresData 2 16" xfId="17214" xr:uid="{00000000-0005-0000-0000-000035440000}"/>
    <cellStyle name="SAPBEXresData 2 17" xfId="17215" xr:uid="{00000000-0005-0000-0000-000036440000}"/>
    <cellStyle name="SAPBEXresData 2 18" xfId="17216" xr:uid="{00000000-0005-0000-0000-000037440000}"/>
    <cellStyle name="SAPBEXresData 2 2" xfId="17217" xr:uid="{00000000-0005-0000-0000-000038440000}"/>
    <cellStyle name="SAPBEXresData 2 2 2" xfId="17218" xr:uid="{00000000-0005-0000-0000-000039440000}"/>
    <cellStyle name="SAPBEXresData 2 2 2 2" xfId="17219" xr:uid="{00000000-0005-0000-0000-00003A440000}"/>
    <cellStyle name="SAPBEXresData 2 2 2 3" xfId="17220" xr:uid="{00000000-0005-0000-0000-00003B440000}"/>
    <cellStyle name="SAPBEXresData 2 2 2 4" xfId="17221" xr:uid="{00000000-0005-0000-0000-00003C440000}"/>
    <cellStyle name="SAPBEXresData 2 2 2 5" xfId="17222" xr:uid="{00000000-0005-0000-0000-00003D440000}"/>
    <cellStyle name="SAPBEXresData 2 2 2 6" xfId="17223" xr:uid="{00000000-0005-0000-0000-00003E440000}"/>
    <cellStyle name="SAPBEXresData 2 2 3" xfId="17224" xr:uid="{00000000-0005-0000-0000-00003F440000}"/>
    <cellStyle name="SAPBEXresData 2 2 3 2" xfId="17225" xr:uid="{00000000-0005-0000-0000-000040440000}"/>
    <cellStyle name="SAPBEXresData 2 2 3 3" xfId="17226" xr:uid="{00000000-0005-0000-0000-000041440000}"/>
    <cellStyle name="SAPBEXresData 2 2 3 4" xfId="17227" xr:uid="{00000000-0005-0000-0000-000042440000}"/>
    <cellStyle name="SAPBEXresData 2 2 3 5" xfId="17228" xr:uid="{00000000-0005-0000-0000-000043440000}"/>
    <cellStyle name="SAPBEXresData 2 2 3 6" xfId="17229" xr:uid="{00000000-0005-0000-0000-000044440000}"/>
    <cellStyle name="SAPBEXresData 2 2 4" xfId="17230" xr:uid="{00000000-0005-0000-0000-000045440000}"/>
    <cellStyle name="SAPBEXresData 2 2 4 2" xfId="17231" xr:uid="{00000000-0005-0000-0000-000046440000}"/>
    <cellStyle name="SAPBEXresData 2 2 4 3" xfId="17232" xr:uid="{00000000-0005-0000-0000-000047440000}"/>
    <cellStyle name="SAPBEXresData 2 2 4 4" xfId="17233" xr:uid="{00000000-0005-0000-0000-000048440000}"/>
    <cellStyle name="SAPBEXresData 2 2 4 5" xfId="17234" xr:uid="{00000000-0005-0000-0000-000049440000}"/>
    <cellStyle name="SAPBEXresData 2 2 4 6" xfId="17235" xr:uid="{00000000-0005-0000-0000-00004A440000}"/>
    <cellStyle name="SAPBEXresData 2 2 5" xfId="17236" xr:uid="{00000000-0005-0000-0000-00004B440000}"/>
    <cellStyle name="SAPBEXresData 2 2 5 2" xfId="17237" xr:uid="{00000000-0005-0000-0000-00004C440000}"/>
    <cellStyle name="SAPBEXresData 2 2 5 3" xfId="17238" xr:uid="{00000000-0005-0000-0000-00004D440000}"/>
    <cellStyle name="SAPBEXresData 2 2 5 4" xfId="17239" xr:uid="{00000000-0005-0000-0000-00004E440000}"/>
    <cellStyle name="SAPBEXresData 2 2 5 5" xfId="17240" xr:uid="{00000000-0005-0000-0000-00004F440000}"/>
    <cellStyle name="SAPBEXresData 2 2 5 6" xfId="17241" xr:uid="{00000000-0005-0000-0000-000050440000}"/>
    <cellStyle name="SAPBEXresData 2 2 6" xfId="17242" xr:uid="{00000000-0005-0000-0000-000051440000}"/>
    <cellStyle name="SAPBEXresData 2 2 7" xfId="17243" xr:uid="{00000000-0005-0000-0000-000052440000}"/>
    <cellStyle name="SAPBEXresData 2 2 8" xfId="17244" xr:uid="{00000000-0005-0000-0000-000053440000}"/>
    <cellStyle name="SAPBEXresData 2 3" xfId="17245" xr:uid="{00000000-0005-0000-0000-000054440000}"/>
    <cellStyle name="SAPBEXresData 2 3 2" xfId="17246" xr:uid="{00000000-0005-0000-0000-000055440000}"/>
    <cellStyle name="SAPBEXresData 2 3 2 2" xfId="17247" xr:uid="{00000000-0005-0000-0000-000056440000}"/>
    <cellStyle name="SAPBEXresData 2 3 2 3" xfId="17248" xr:uid="{00000000-0005-0000-0000-000057440000}"/>
    <cellStyle name="SAPBEXresData 2 3 2 4" xfId="17249" xr:uid="{00000000-0005-0000-0000-000058440000}"/>
    <cellStyle name="SAPBEXresData 2 3 2 5" xfId="17250" xr:uid="{00000000-0005-0000-0000-000059440000}"/>
    <cellStyle name="SAPBEXresData 2 3 2 6" xfId="17251" xr:uid="{00000000-0005-0000-0000-00005A440000}"/>
    <cellStyle name="SAPBEXresData 2 3 3" xfId="17252" xr:uid="{00000000-0005-0000-0000-00005B440000}"/>
    <cellStyle name="SAPBEXresData 2 3 3 2" xfId="17253" xr:uid="{00000000-0005-0000-0000-00005C440000}"/>
    <cellStyle name="SAPBEXresData 2 3 3 3" xfId="17254" xr:uid="{00000000-0005-0000-0000-00005D440000}"/>
    <cellStyle name="SAPBEXresData 2 3 3 4" xfId="17255" xr:uid="{00000000-0005-0000-0000-00005E440000}"/>
    <cellStyle name="SAPBEXresData 2 3 3 5" xfId="17256" xr:uid="{00000000-0005-0000-0000-00005F440000}"/>
    <cellStyle name="SAPBEXresData 2 3 3 6" xfId="17257" xr:uid="{00000000-0005-0000-0000-000060440000}"/>
    <cellStyle name="SAPBEXresData 2 3 4" xfId="17258" xr:uid="{00000000-0005-0000-0000-000061440000}"/>
    <cellStyle name="SAPBEXresData 2 3 4 2" xfId="17259" xr:uid="{00000000-0005-0000-0000-000062440000}"/>
    <cellStyle name="SAPBEXresData 2 3 4 3" xfId="17260" xr:uid="{00000000-0005-0000-0000-000063440000}"/>
    <cellStyle name="SAPBEXresData 2 3 4 4" xfId="17261" xr:uid="{00000000-0005-0000-0000-000064440000}"/>
    <cellStyle name="SAPBEXresData 2 3 4 5" xfId="17262" xr:uid="{00000000-0005-0000-0000-000065440000}"/>
    <cellStyle name="SAPBEXresData 2 3 4 6" xfId="17263" xr:uid="{00000000-0005-0000-0000-000066440000}"/>
    <cellStyle name="SAPBEXresData 2 3 5" xfId="17264" xr:uid="{00000000-0005-0000-0000-000067440000}"/>
    <cellStyle name="SAPBEXresData 2 3 5 2" xfId="17265" xr:uid="{00000000-0005-0000-0000-000068440000}"/>
    <cellStyle name="SAPBEXresData 2 3 5 3" xfId="17266" xr:uid="{00000000-0005-0000-0000-000069440000}"/>
    <cellStyle name="SAPBEXresData 2 3 5 4" xfId="17267" xr:uid="{00000000-0005-0000-0000-00006A440000}"/>
    <cellStyle name="SAPBEXresData 2 3 5 5" xfId="17268" xr:uid="{00000000-0005-0000-0000-00006B440000}"/>
    <cellStyle name="SAPBEXresData 2 3 5 6" xfId="17269" xr:uid="{00000000-0005-0000-0000-00006C440000}"/>
    <cellStyle name="SAPBEXresData 2 3 6" xfId="17270" xr:uid="{00000000-0005-0000-0000-00006D440000}"/>
    <cellStyle name="SAPBEXresData 2 3 7" xfId="17271" xr:uid="{00000000-0005-0000-0000-00006E440000}"/>
    <cellStyle name="SAPBEXresData 2 3 8" xfId="17272" xr:uid="{00000000-0005-0000-0000-00006F440000}"/>
    <cellStyle name="SAPBEXresData 2 4" xfId="17273" xr:uid="{00000000-0005-0000-0000-000070440000}"/>
    <cellStyle name="SAPBEXresData 2 4 2" xfId="17274" xr:uid="{00000000-0005-0000-0000-000071440000}"/>
    <cellStyle name="SAPBEXresData 2 4 2 2" xfId="17275" xr:uid="{00000000-0005-0000-0000-000072440000}"/>
    <cellStyle name="SAPBEXresData 2 4 2 3" xfId="17276" xr:uid="{00000000-0005-0000-0000-000073440000}"/>
    <cellStyle name="SAPBEXresData 2 4 2 4" xfId="17277" xr:uid="{00000000-0005-0000-0000-000074440000}"/>
    <cellStyle name="SAPBEXresData 2 4 2 5" xfId="17278" xr:uid="{00000000-0005-0000-0000-000075440000}"/>
    <cellStyle name="SAPBEXresData 2 4 2 6" xfId="17279" xr:uid="{00000000-0005-0000-0000-000076440000}"/>
    <cellStyle name="SAPBEXresData 2 4 3" xfId="17280" xr:uid="{00000000-0005-0000-0000-000077440000}"/>
    <cellStyle name="SAPBEXresData 2 4 3 2" xfId="17281" xr:uid="{00000000-0005-0000-0000-000078440000}"/>
    <cellStyle name="SAPBEXresData 2 4 3 3" xfId="17282" xr:uid="{00000000-0005-0000-0000-000079440000}"/>
    <cellStyle name="SAPBEXresData 2 4 3 4" xfId="17283" xr:uid="{00000000-0005-0000-0000-00007A440000}"/>
    <cellStyle name="SAPBEXresData 2 4 3 5" xfId="17284" xr:uid="{00000000-0005-0000-0000-00007B440000}"/>
    <cellStyle name="SAPBEXresData 2 4 3 6" xfId="17285" xr:uid="{00000000-0005-0000-0000-00007C440000}"/>
    <cellStyle name="SAPBEXresData 2 4 4" xfId="17286" xr:uid="{00000000-0005-0000-0000-00007D440000}"/>
    <cellStyle name="SAPBEXresData 2 4 4 2" xfId="17287" xr:uid="{00000000-0005-0000-0000-00007E440000}"/>
    <cellStyle name="SAPBEXresData 2 4 4 3" xfId="17288" xr:uid="{00000000-0005-0000-0000-00007F440000}"/>
    <cellStyle name="SAPBEXresData 2 4 4 4" xfId="17289" xr:uid="{00000000-0005-0000-0000-000080440000}"/>
    <cellStyle name="SAPBEXresData 2 4 4 5" xfId="17290" xr:uid="{00000000-0005-0000-0000-000081440000}"/>
    <cellStyle name="SAPBEXresData 2 4 4 6" xfId="17291" xr:uid="{00000000-0005-0000-0000-000082440000}"/>
    <cellStyle name="SAPBEXresData 2 4 5" xfId="17292" xr:uid="{00000000-0005-0000-0000-000083440000}"/>
    <cellStyle name="SAPBEXresData 2 4 5 2" xfId="17293" xr:uid="{00000000-0005-0000-0000-000084440000}"/>
    <cellStyle name="SAPBEXresData 2 4 5 3" xfId="17294" xr:uid="{00000000-0005-0000-0000-000085440000}"/>
    <cellStyle name="SAPBEXresData 2 4 5 4" xfId="17295" xr:uid="{00000000-0005-0000-0000-000086440000}"/>
    <cellStyle name="SAPBEXresData 2 4 5 5" xfId="17296" xr:uid="{00000000-0005-0000-0000-000087440000}"/>
    <cellStyle name="SAPBEXresData 2 4 5 6" xfId="17297" xr:uid="{00000000-0005-0000-0000-000088440000}"/>
    <cellStyle name="SAPBEXresData 2 4 6" xfId="17298" xr:uid="{00000000-0005-0000-0000-000089440000}"/>
    <cellStyle name="SAPBEXresData 2 4 7" xfId="17299" xr:uid="{00000000-0005-0000-0000-00008A440000}"/>
    <cellStyle name="SAPBEXresData 2 4 8" xfId="17300" xr:uid="{00000000-0005-0000-0000-00008B440000}"/>
    <cellStyle name="SAPBEXresData 2 5" xfId="17301" xr:uid="{00000000-0005-0000-0000-00008C440000}"/>
    <cellStyle name="SAPBEXresData 2 5 2" xfId="17302" xr:uid="{00000000-0005-0000-0000-00008D440000}"/>
    <cellStyle name="SAPBEXresData 2 5 3" xfId="17303" xr:uid="{00000000-0005-0000-0000-00008E440000}"/>
    <cellStyle name="SAPBEXresData 2 5 4" xfId="17304" xr:uid="{00000000-0005-0000-0000-00008F440000}"/>
    <cellStyle name="SAPBEXresData 2 6" xfId="17305" xr:uid="{00000000-0005-0000-0000-000090440000}"/>
    <cellStyle name="SAPBEXresData 2 6 2" xfId="17306" xr:uid="{00000000-0005-0000-0000-000091440000}"/>
    <cellStyle name="SAPBEXresData 2 6 3" xfId="17307" xr:uid="{00000000-0005-0000-0000-000092440000}"/>
    <cellStyle name="SAPBEXresData 2 6 4" xfId="17308" xr:uid="{00000000-0005-0000-0000-000093440000}"/>
    <cellStyle name="SAPBEXresData 2 7" xfId="17309" xr:uid="{00000000-0005-0000-0000-000094440000}"/>
    <cellStyle name="SAPBEXresData 2 7 2" xfId="17310" xr:uid="{00000000-0005-0000-0000-000095440000}"/>
    <cellStyle name="SAPBEXresData 2 7 3" xfId="17311" xr:uid="{00000000-0005-0000-0000-000096440000}"/>
    <cellStyle name="SAPBEXresData 2 7 4" xfId="17312" xr:uid="{00000000-0005-0000-0000-000097440000}"/>
    <cellStyle name="SAPBEXresData 2 8" xfId="17313" xr:uid="{00000000-0005-0000-0000-000098440000}"/>
    <cellStyle name="SAPBEXresData 2 8 2" xfId="17314" xr:uid="{00000000-0005-0000-0000-000099440000}"/>
    <cellStyle name="SAPBEXresData 2 8 3" xfId="17315" xr:uid="{00000000-0005-0000-0000-00009A440000}"/>
    <cellStyle name="SAPBEXresData 2 8 4" xfId="17316" xr:uid="{00000000-0005-0000-0000-00009B440000}"/>
    <cellStyle name="SAPBEXresData 2 9" xfId="17317" xr:uid="{00000000-0005-0000-0000-00009C440000}"/>
    <cellStyle name="SAPBEXresData 2 9 2" xfId="17318" xr:uid="{00000000-0005-0000-0000-00009D440000}"/>
    <cellStyle name="SAPBEXresData 2 9 3" xfId="17319" xr:uid="{00000000-0005-0000-0000-00009E440000}"/>
    <cellStyle name="SAPBEXresData 2 9 4" xfId="17320" xr:uid="{00000000-0005-0000-0000-00009F440000}"/>
    <cellStyle name="SAPBEXresData 20" xfId="17321" xr:uid="{00000000-0005-0000-0000-0000A0440000}"/>
    <cellStyle name="SAPBEXresData 20 2" xfId="17322" xr:uid="{00000000-0005-0000-0000-0000A1440000}"/>
    <cellStyle name="SAPBEXresData 20 3" xfId="17323" xr:uid="{00000000-0005-0000-0000-0000A2440000}"/>
    <cellStyle name="SAPBEXresData 20 4" xfId="17324" xr:uid="{00000000-0005-0000-0000-0000A3440000}"/>
    <cellStyle name="SAPBEXresData 20 5" xfId="17325" xr:uid="{00000000-0005-0000-0000-0000A4440000}"/>
    <cellStyle name="SAPBEXresData 20 6" xfId="17326" xr:uid="{00000000-0005-0000-0000-0000A5440000}"/>
    <cellStyle name="SAPBEXresData 21" xfId="17327" xr:uid="{00000000-0005-0000-0000-0000A6440000}"/>
    <cellStyle name="SAPBEXresData 21 2" xfId="17328" xr:uid="{00000000-0005-0000-0000-0000A7440000}"/>
    <cellStyle name="SAPBEXresData 21 3" xfId="17329" xr:uid="{00000000-0005-0000-0000-0000A8440000}"/>
    <cellStyle name="SAPBEXresData 21 4" xfId="17330" xr:uid="{00000000-0005-0000-0000-0000A9440000}"/>
    <cellStyle name="SAPBEXresData 21 5" xfId="17331" xr:uid="{00000000-0005-0000-0000-0000AA440000}"/>
    <cellStyle name="SAPBEXresData 21 6" xfId="17332" xr:uid="{00000000-0005-0000-0000-0000AB440000}"/>
    <cellStyle name="SAPBEXresData 22" xfId="17333" xr:uid="{00000000-0005-0000-0000-0000AC440000}"/>
    <cellStyle name="SAPBEXresData 22 2" xfId="17334" xr:uid="{00000000-0005-0000-0000-0000AD440000}"/>
    <cellStyle name="SAPBEXresData 22 3" xfId="17335" xr:uid="{00000000-0005-0000-0000-0000AE440000}"/>
    <cellStyle name="SAPBEXresData 22 4" xfId="17336" xr:uid="{00000000-0005-0000-0000-0000AF440000}"/>
    <cellStyle name="SAPBEXresData 22 5" xfId="17337" xr:uid="{00000000-0005-0000-0000-0000B0440000}"/>
    <cellStyle name="SAPBEXresData 22 6" xfId="17338" xr:uid="{00000000-0005-0000-0000-0000B1440000}"/>
    <cellStyle name="SAPBEXresData 23" xfId="17339" xr:uid="{00000000-0005-0000-0000-0000B2440000}"/>
    <cellStyle name="SAPBEXresData 23 2" xfId="17340" xr:uid="{00000000-0005-0000-0000-0000B3440000}"/>
    <cellStyle name="SAPBEXresData 23 3" xfId="17341" xr:uid="{00000000-0005-0000-0000-0000B4440000}"/>
    <cellStyle name="SAPBEXresData 23 4" xfId="17342" xr:uid="{00000000-0005-0000-0000-0000B5440000}"/>
    <cellStyle name="SAPBEXresData 23 5" xfId="17343" xr:uid="{00000000-0005-0000-0000-0000B6440000}"/>
    <cellStyle name="SAPBEXresData 23 6" xfId="17344" xr:uid="{00000000-0005-0000-0000-0000B7440000}"/>
    <cellStyle name="SAPBEXresData 24" xfId="17345" xr:uid="{00000000-0005-0000-0000-0000B8440000}"/>
    <cellStyle name="SAPBEXresData 24 2" xfId="17346" xr:uid="{00000000-0005-0000-0000-0000B9440000}"/>
    <cellStyle name="SAPBEXresData 24 3" xfId="17347" xr:uid="{00000000-0005-0000-0000-0000BA440000}"/>
    <cellStyle name="SAPBEXresData 24 4" xfId="17348" xr:uid="{00000000-0005-0000-0000-0000BB440000}"/>
    <cellStyle name="SAPBEXresData 24 5" xfId="17349" xr:uid="{00000000-0005-0000-0000-0000BC440000}"/>
    <cellStyle name="SAPBEXresData 24 6" xfId="17350" xr:uid="{00000000-0005-0000-0000-0000BD440000}"/>
    <cellStyle name="SAPBEXresData 25" xfId="17351" xr:uid="{00000000-0005-0000-0000-0000BE440000}"/>
    <cellStyle name="SAPBEXresData 25 2" xfId="17352" xr:uid="{00000000-0005-0000-0000-0000BF440000}"/>
    <cellStyle name="SAPBEXresData 25 3" xfId="17353" xr:uid="{00000000-0005-0000-0000-0000C0440000}"/>
    <cellStyle name="SAPBEXresData 25 4" xfId="17354" xr:uid="{00000000-0005-0000-0000-0000C1440000}"/>
    <cellStyle name="SAPBEXresData 25 5" xfId="17355" xr:uid="{00000000-0005-0000-0000-0000C2440000}"/>
    <cellStyle name="SAPBEXresData 25 6" xfId="17356" xr:uid="{00000000-0005-0000-0000-0000C3440000}"/>
    <cellStyle name="SAPBEXresData 26" xfId="17357" xr:uid="{00000000-0005-0000-0000-0000C4440000}"/>
    <cellStyle name="SAPBEXresData 26 2" xfId="17358" xr:uid="{00000000-0005-0000-0000-0000C5440000}"/>
    <cellStyle name="SAPBEXresData 26 3" xfId="17359" xr:uid="{00000000-0005-0000-0000-0000C6440000}"/>
    <cellStyle name="SAPBEXresData 26 4" xfId="17360" xr:uid="{00000000-0005-0000-0000-0000C7440000}"/>
    <cellStyle name="SAPBEXresData 26 5" xfId="17361" xr:uid="{00000000-0005-0000-0000-0000C8440000}"/>
    <cellStyle name="SAPBEXresData 26 6" xfId="17362" xr:uid="{00000000-0005-0000-0000-0000C9440000}"/>
    <cellStyle name="SAPBEXresData 27" xfId="17363" xr:uid="{00000000-0005-0000-0000-0000CA440000}"/>
    <cellStyle name="SAPBEXresData 27 2" xfId="17364" xr:uid="{00000000-0005-0000-0000-0000CB440000}"/>
    <cellStyle name="SAPBEXresData 27 3" xfId="17365" xr:uid="{00000000-0005-0000-0000-0000CC440000}"/>
    <cellStyle name="SAPBEXresData 27 4" xfId="17366" xr:uid="{00000000-0005-0000-0000-0000CD440000}"/>
    <cellStyle name="SAPBEXresData 27 5" xfId="17367" xr:uid="{00000000-0005-0000-0000-0000CE440000}"/>
    <cellStyle name="SAPBEXresData 27 6" xfId="17368" xr:uid="{00000000-0005-0000-0000-0000CF440000}"/>
    <cellStyle name="SAPBEXresData 28" xfId="17369" xr:uid="{00000000-0005-0000-0000-0000D0440000}"/>
    <cellStyle name="SAPBEXresData 28 2" xfId="17370" xr:uid="{00000000-0005-0000-0000-0000D1440000}"/>
    <cellStyle name="SAPBEXresData 28 3" xfId="17371" xr:uid="{00000000-0005-0000-0000-0000D2440000}"/>
    <cellStyle name="SAPBEXresData 28 4" xfId="17372" xr:uid="{00000000-0005-0000-0000-0000D3440000}"/>
    <cellStyle name="SAPBEXresData 28 5" xfId="17373" xr:uid="{00000000-0005-0000-0000-0000D4440000}"/>
    <cellStyle name="SAPBEXresData 28 6" xfId="17374" xr:uid="{00000000-0005-0000-0000-0000D5440000}"/>
    <cellStyle name="SAPBEXresData 29" xfId="17375" xr:uid="{00000000-0005-0000-0000-0000D6440000}"/>
    <cellStyle name="SAPBEXresData 29 2" xfId="17376" xr:uid="{00000000-0005-0000-0000-0000D7440000}"/>
    <cellStyle name="SAPBEXresData 29 3" xfId="17377" xr:uid="{00000000-0005-0000-0000-0000D8440000}"/>
    <cellStyle name="SAPBEXresData 29 4" xfId="17378" xr:uid="{00000000-0005-0000-0000-0000D9440000}"/>
    <cellStyle name="SAPBEXresData 29 5" xfId="17379" xr:uid="{00000000-0005-0000-0000-0000DA440000}"/>
    <cellStyle name="SAPBEXresData 29 6" xfId="17380" xr:uid="{00000000-0005-0000-0000-0000DB440000}"/>
    <cellStyle name="SAPBEXresData 3" xfId="17381" xr:uid="{00000000-0005-0000-0000-0000DC440000}"/>
    <cellStyle name="SAPBEXresData 3 10" xfId="17382" xr:uid="{00000000-0005-0000-0000-0000DD440000}"/>
    <cellStyle name="SAPBEXresData 3 11" xfId="17383" xr:uid="{00000000-0005-0000-0000-0000DE440000}"/>
    <cellStyle name="SAPBEXresData 3 12" xfId="17384" xr:uid="{00000000-0005-0000-0000-0000DF440000}"/>
    <cellStyle name="SAPBEXresData 3 2" xfId="17385" xr:uid="{00000000-0005-0000-0000-0000E0440000}"/>
    <cellStyle name="SAPBEXresData 3 2 2" xfId="17386" xr:uid="{00000000-0005-0000-0000-0000E1440000}"/>
    <cellStyle name="SAPBEXresData 3 2 2 2" xfId="17387" xr:uid="{00000000-0005-0000-0000-0000E2440000}"/>
    <cellStyle name="SAPBEXresData 3 2 2 3" xfId="17388" xr:uid="{00000000-0005-0000-0000-0000E3440000}"/>
    <cellStyle name="SAPBEXresData 3 2 2 4" xfId="17389" xr:uid="{00000000-0005-0000-0000-0000E4440000}"/>
    <cellStyle name="SAPBEXresData 3 2 2 5" xfId="17390" xr:uid="{00000000-0005-0000-0000-0000E5440000}"/>
    <cellStyle name="SAPBEXresData 3 2 2 6" xfId="17391" xr:uid="{00000000-0005-0000-0000-0000E6440000}"/>
    <cellStyle name="SAPBEXresData 3 2 3" xfId="17392" xr:uid="{00000000-0005-0000-0000-0000E7440000}"/>
    <cellStyle name="SAPBEXresData 3 2 3 2" xfId="17393" xr:uid="{00000000-0005-0000-0000-0000E8440000}"/>
    <cellStyle name="SAPBEXresData 3 2 3 3" xfId="17394" xr:uid="{00000000-0005-0000-0000-0000E9440000}"/>
    <cellStyle name="SAPBEXresData 3 2 3 4" xfId="17395" xr:uid="{00000000-0005-0000-0000-0000EA440000}"/>
    <cellStyle name="SAPBEXresData 3 2 3 5" xfId="17396" xr:uid="{00000000-0005-0000-0000-0000EB440000}"/>
    <cellStyle name="SAPBEXresData 3 2 3 6" xfId="17397" xr:uid="{00000000-0005-0000-0000-0000EC440000}"/>
    <cellStyle name="SAPBEXresData 3 2 4" xfId="17398" xr:uid="{00000000-0005-0000-0000-0000ED440000}"/>
    <cellStyle name="SAPBEXresData 3 2 4 2" xfId="17399" xr:uid="{00000000-0005-0000-0000-0000EE440000}"/>
    <cellStyle name="SAPBEXresData 3 2 4 3" xfId="17400" xr:uid="{00000000-0005-0000-0000-0000EF440000}"/>
    <cellStyle name="SAPBEXresData 3 2 4 4" xfId="17401" xr:uid="{00000000-0005-0000-0000-0000F0440000}"/>
    <cellStyle name="SAPBEXresData 3 2 4 5" xfId="17402" xr:uid="{00000000-0005-0000-0000-0000F1440000}"/>
    <cellStyle name="SAPBEXresData 3 2 4 6" xfId="17403" xr:uid="{00000000-0005-0000-0000-0000F2440000}"/>
    <cellStyle name="SAPBEXresData 3 2 5" xfId="17404" xr:uid="{00000000-0005-0000-0000-0000F3440000}"/>
    <cellStyle name="SAPBEXresData 3 2 5 2" xfId="17405" xr:uid="{00000000-0005-0000-0000-0000F4440000}"/>
    <cellStyle name="SAPBEXresData 3 2 5 3" xfId="17406" xr:uid="{00000000-0005-0000-0000-0000F5440000}"/>
    <cellStyle name="SAPBEXresData 3 2 5 4" xfId="17407" xr:uid="{00000000-0005-0000-0000-0000F6440000}"/>
    <cellStyle name="SAPBEXresData 3 2 5 5" xfId="17408" xr:uid="{00000000-0005-0000-0000-0000F7440000}"/>
    <cellStyle name="SAPBEXresData 3 2 5 6" xfId="17409" xr:uid="{00000000-0005-0000-0000-0000F8440000}"/>
    <cellStyle name="SAPBEXresData 3 2 6" xfId="17410" xr:uid="{00000000-0005-0000-0000-0000F9440000}"/>
    <cellStyle name="SAPBEXresData 3 2 7" xfId="17411" xr:uid="{00000000-0005-0000-0000-0000FA440000}"/>
    <cellStyle name="SAPBEXresData 3 2 8" xfId="17412" xr:uid="{00000000-0005-0000-0000-0000FB440000}"/>
    <cellStyle name="SAPBEXresData 3 3" xfId="17413" xr:uid="{00000000-0005-0000-0000-0000FC440000}"/>
    <cellStyle name="SAPBEXresData 3 3 2" xfId="17414" xr:uid="{00000000-0005-0000-0000-0000FD440000}"/>
    <cellStyle name="SAPBEXresData 3 3 3" xfId="17415" xr:uid="{00000000-0005-0000-0000-0000FE440000}"/>
    <cellStyle name="SAPBEXresData 3 3 4" xfId="17416" xr:uid="{00000000-0005-0000-0000-0000FF440000}"/>
    <cellStyle name="SAPBEXresData 3 3 5" xfId="17417" xr:uid="{00000000-0005-0000-0000-000000450000}"/>
    <cellStyle name="SAPBEXresData 3 3 6" xfId="17418" xr:uid="{00000000-0005-0000-0000-000001450000}"/>
    <cellStyle name="SAPBEXresData 3 4" xfId="17419" xr:uid="{00000000-0005-0000-0000-000002450000}"/>
    <cellStyle name="SAPBEXresData 3 4 2" xfId="17420" xr:uid="{00000000-0005-0000-0000-000003450000}"/>
    <cellStyle name="SAPBEXresData 3 4 3" xfId="17421" xr:uid="{00000000-0005-0000-0000-000004450000}"/>
    <cellStyle name="SAPBEXresData 3 4 4" xfId="17422" xr:uid="{00000000-0005-0000-0000-000005450000}"/>
    <cellStyle name="SAPBEXresData 3 4 5" xfId="17423" xr:uid="{00000000-0005-0000-0000-000006450000}"/>
    <cellStyle name="SAPBEXresData 3 4 6" xfId="17424" xr:uid="{00000000-0005-0000-0000-000007450000}"/>
    <cellStyle name="SAPBEXresData 3 5" xfId="17425" xr:uid="{00000000-0005-0000-0000-000008450000}"/>
    <cellStyle name="SAPBEXresData 3 5 2" xfId="17426" xr:uid="{00000000-0005-0000-0000-000009450000}"/>
    <cellStyle name="SAPBEXresData 3 5 3" xfId="17427" xr:uid="{00000000-0005-0000-0000-00000A450000}"/>
    <cellStyle name="SAPBEXresData 3 5 4" xfId="17428" xr:uid="{00000000-0005-0000-0000-00000B450000}"/>
    <cellStyle name="SAPBEXresData 3 6" xfId="17429" xr:uid="{00000000-0005-0000-0000-00000C450000}"/>
    <cellStyle name="SAPBEXresData 3 6 2" xfId="17430" xr:uid="{00000000-0005-0000-0000-00000D450000}"/>
    <cellStyle name="SAPBEXresData 3 6 3" xfId="17431" xr:uid="{00000000-0005-0000-0000-00000E450000}"/>
    <cellStyle name="SAPBEXresData 3 6 4" xfId="17432" xr:uid="{00000000-0005-0000-0000-00000F450000}"/>
    <cellStyle name="SAPBEXresData 3 7" xfId="17433" xr:uid="{00000000-0005-0000-0000-000010450000}"/>
    <cellStyle name="SAPBEXresData 3 7 2" xfId="17434" xr:uid="{00000000-0005-0000-0000-000011450000}"/>
    <cellStyle name="SAPBEXresData 3 7 3" xfId="17435" xr:uid="{00000000-0005-0000-0000-000012450000}"/>
    <cellStyle name="SAPBEXresData 3 7 4" xfId="17436" xr:uid="{00000000-0005-0000-0000-000013450000}"/>
    <cellStyle name="SAPBEXresData 3 8" xfId="17437" xr:uid="{00000000-0005-0000-0000-000014450000}"/>
    <cellStyle name="SAPBEXresData 3 9" xfId="17438" xr:uid="{00000000-0005-0000-0000-000015450000}"/>
    <cellStyle name="SAPBEXresData 30" xfId="17439" xr:uid="{00000000-0005-0000-0000-000016450000}"/>
    <cellStyle name="SAPBEXresData 30 2" xfId="17440" xr:uid="{00000000-0005-0000-0000-000017450000}"/>
    <cellStyle name="SAPBEXresData 30 3" xfId="17441" xr:uid="{00000000-0005-0000-0000-000018450000}"/>
    <cellStyle name="SAPBEXresData 30 4" xfId="17442" xr:uid="{00000000-0005-0000-0000-000019450000}"/>
    <cellStyle name="SAPBEXresData 30 5" xfId="17443" xr:uid="{00000000-0005-0000-0000-00001A450000}"/>
    <cellStyle name="SAPBEXresData 30 6" xfId="17444" xr:uid="{00000000-0005-0000-0000-00001B450000}"/>
    <cellStyle name="SAPBEXresData 31" xfId="17445" xr:uid="{00000000-0005-0000-0000-00001C450000}"/>
    <cellStyle name="SAPBEXresData 31 2" xfId="17446" xr:uid="{00000000-0005-0000-0000-00001D450000}"/>
    <cellStyle name="SAPBEXresData 31 3" xfId="17447" xr:uid="{00000000-0005-0000-0000-00001E450000}"/>
    <cellStyle name="SAPBEXresData 31 4" xfId="17448" xr:uid="{00000000-0005-0000-0000-00001F450000}"/>
    <cellStyle name="SAPBEXresData 31 5" xfId="17449" xr:uid="{00000000-0005-0000-0000-000020450000}"/>
    <cellStyle name="SAPBEXresData 31 6" xfId="17450" xr:uid="{00000000-0005-0000-0000-000021450000}"/>
    <cellStyle name="SAPBEXresData 32" xfId="17451" xr:uid="{00000000-0005-0000-0000-000022450000}"/>
    <cellStyle name="SAPBEXresData 32 2" xfId="17452" xr:uid="{00000000-0005-0000-0000-000023450000}"/>
    <cellStyle name="SAPBEXresData 32 3" xfId="17453" xr:uid="{00000000-0005-0000-0000-000024450000}"/>
    <cellStyle name="SAPBEXresData 32 4" xfId="17454" xr:uid="{00000000-0005-0000-0000-000025450000}"/>
    <cellStyle name="SAPBEXresData 32 5" xfId="17455" xr:uid="{00000000-0005-0000-0000-000026450000}"/>
    <cellStyle name="SAPBEXresData 32 6" xfId="17456" xr:uid="{00000000-0005-0000-0000-000027450000}"/>
    <cellStyle name="SAPBEXresData 33" xfId="17457" xr:uid="{00000000-0005-0000-0000-000028450000}"/>
    <cellStyle name="SAPBEXresData 34" xfId="17458" xr:uid="{00000000-0005-0000-0000-000029450000}"/>
    <cellStyle name="SAPBEXresData 35" xfId="17459" xr:uid="{00000000-0005-0000-0000-00002A450000}"/>
    <cellStyle name="SAPBEXresData 36" xfId="27806" xr:uid="{00000000-0005-0000-0000-00002B450000}"/>
    <cellStyle name="SAPBEXresData 37" xfId="27931" xr:uid="{00000000-0005-0000-0000-00002C450000}"/>
    <cellStyle name="SAPBEXresData 38" xfId="28031" xr:uid="{00000000-0005-0000-0000-00002D450000}"/>
    <cellStyle name="SAPBEXresData 39" xfId="28163" xr:uid="{00000000-0005-0000-0000-00002E450000}"/>
    <cellStyle name="SAPBEXresData 4" xfId="17460" xr:uid="{00000000-0005-0000-0000-00002F450000}"/>
    <cellStyle name="SAPBEXresData 4 2" xfId="17461" xr:uid="{00000000-0005-0000-0000-000030450000}"/>
    <cellStyle name="SAPBEXresData 4 3" xfId="17462" xr:uid="{00000000-0005-0000-0000-000031450000}"/>
    <cellStyle name="SAPBEXresData 4 4" xfId="17463" xr:uid="{00000000-0005-0000-0000-000032450000}"/>
    <cellStyle name="SAPBEXresData 4 5" xfId="17464" xr:uid="{00000000-0005-0000-0000-000033450000}"/>
    <cellStyle name="SAPBEXresData 4 6" xfId="17465" xr:uid="{00000000-0005-0000-0000-000034450000}"/>
    <cellStyle name="SAPBEXresData 5" xfId="17466" xr:uid="{00000000-0005-0000-0000-000035450000}"/>
    <cellStyle name="SAPBEXresData 5 2" xfId="17467" xr:uid="{00000000-0005-0000-0000-000036450000}"/>
    <cellStyle name="SAPBEXresData 5 3" xfId="17468" xr:uid="{00000000-0005-0000-0000-000037450000}"/>
    <cellStyle name="SAPBEXresData 5 4" xfId="17469" xr:uid="{00000000-0005-0000-0000-000038450000}"/>
    <cellStyle name="SAPBEXresData 5 5" xfId="17470" xr:uid="{00000000-0005-0000-0000-000039450000}"/>
    <cellStyle name="SAPBEXresData 5 6" xfId="17471" xr:uid="{00000000-0005-0000-0000-00003A450000}"/>
    <cellStyle name="SAPBEXresData 6" xfId="17472" xr:uid="{00000000-0005-0000-0000-00003B450000}"/>
    <cellStyle name="SAPBEXresData 6 10" xfId="17473" xr:uid="{00000000-0005-0000-0000-00003C450000}"/>
    <cellStyle name="SAPBEXresData 6 2" xfId="17474" xr:uid="{00000000-0005-0000-0000-00003D450000}"/>
    <cellStyle name="SAPBEXresData 6 2 2" xfId="17475" xr:uid="{00000000-0005-0000-0000-00003E450000}"/>
    <cellStyle name="SAPBEXresData 6 2 3" xfId="17476" xr:uid="{00000000-0005-0000-0000-00003F450000}"/>
    <cellStyle name="SAPBEXresData 6 2 4" xfId="17477" xr:uid="{00000000-0005-0000-0000-000040450000}"/>
    <cellStyle name="SAPBEXresData 6 3" xfId="17478" xr:uid="{00000000-0005-0000-0000-000041450000}"/>
    <cellStyle name="SAPBEXresData 6 3 2" xfId="17479" xr:uid="{00000000-0005-0000-0000-000042450000}"/>
    <cellStyle name="SAPBEXresData 6 3 3" xfId="17480" xr:uid="{00000000-0005-0000-0000-000043450000}"/>
    <cellStyle name="SAPBEXresData 6 3 4" xfId="17481" xr:uid="{00000000-0005-0000-0000-000044450000}"/>
    <cellStyle name="SAPBEXresData 6 4" xfId="17482" xr:uid="{00000000-0005-0000-0000-000045450000}"/>
    <cellStyle name="SAPBEXresData 6 4 2" xfId="17483" xr:uid="{00000000-0005-0000-0000-000046450000}"/>
    <cellStyle name="SAPBEXresData 6 4 3" xfId="17484" xr:uid="{00000000-0005-0000-0000-000047450000}"/>
    <cellStyle name="SAPBEXresData 6 4 4" xfId="17485" xr:uid="{00000000-0005-0000-0000-000048450000}"/>
    <cellStyle name="SAPBEXresData 6 5" xfId="17486" xr:uid="{00000000-0005-0000-0000-000049450000}"/>
    <cellStyle name="SAPBEXresData 6 5 2" xfId="17487" xr:uid="{00000000-0005-0000-0000-00004A450000}"/>
    <cellStyle name="SAPBEXresData 6 5 3" xfId="17488" xr:uid="{00000000-0005-0000-0000-00004B450000}"/>
    <cellStyle name="SAPBEXresData 6 5 4" xfId="17489" xr:uid="{00000000-0005-0000-0000-00004C450000}"/>
    <cellStyle name="SAPBEXresData 6 6" xfId="17490" xr:uid="{00000000-0005-0000-0000-00004D450000}"/>
    <cellStyle name="SAPBEXresData 6 7" xfId="17491" xr:uid="{00000000-0005-0000-0000-00004E450000}"/>
    <cellStyle name="SAPBEXresData 6 8" xfId="17492" xr:uid="{00000000-0005-0000-0000-00004F450000}"/>
    <cellStyle name="SAPBEXresData 6 9" xfId="17493" xr:uid="{00000000-0005-0000-0000-000050450000}"/>
    <cellStyle name="SAPBEXresData 7" xfId="17494" xr:uid="{00000000-0005-0000-0000-000051450000}"/>
    <cellStyle name="SAPBEXresData 7 10" xfId="17495" xr:uid="{00000000-0005-0000-0000-000052450000}"/>
    <cellStyle name="SAPBEXresData 7 2" xfId="17496" xr:uid="{00000000-0005-0000-0000-000053450000}"/>
    <cellStyle name="SAPBEXresData 7 2 2" xfId="17497" xr:uid="{00000000-0005-0000-0000-000054450000}"/>
    <cellStyle name="SAPBEXresData 7 2 3" xfId="17498" xr:uid="{00000000-0005-0000-0000-000055450000}"/>
    <cellStyle name="SAPBEXresData 7 2 4" xfId="17499" xr:uid="{00000000-0005-0000-0000-000056450000}"/>
    <cellStyle name="SAPBEXresData 7 3" xfId="17500" xr:uid="{00000000-0005-0000-0000-000057450000}"/>
    <cellStyle name="SAPBEXresData 7 3 2" xfId="17501" xr:uid="{00000000-0005-0000-0000-000058450000}"/>
    <cellStyle name="SAPBEXresData 7 3 3" xfId="17502" xr:uid="{00000000-0005-0000-0000-000059450000}"/>
    <cellStyle name="SAPBEXresData 7 3 4" xfId="17503" xr:uid="{00000000-0005-0000-0000-00005A450000}"/>
    <cellStyle name="SAPBEXresData 7 4" xfId="17504" xr:uid="{00000000-0005-0000-0000-00005B450000}"/>
    <cellStyle name="SAPBEXresData 7 4 2" xfId="17505" xr:uid="{00000000-0005-0000-0000-00005C450000}"/>
    <cellStyle name="SAPBEXresData 7 4 3" xfId="17506" xr:uid="{00000000-0005-0000-0000-00005D450000}"/>
    <cellStyle name="SAPBEXresData 7 4 4" xfId="17507" xr:uid="{00000000-0005-0000-0000-00005E450000}"/>
    <cellStyle name="SAPBEXresData 7 5" xfId="17508" xr:uid="{00000000-0005-0000-0000-00005F450000}"/>
    <cellStyle name="SAPBEXresData 7 5 2" xfId="17509" xr:uid="{00000000-0005-0000-0000-000060450000}"/>
    <cellStyle name="SAPBEXresData 7 5 3" xfId="17510" xr:uid="{00000000-0005-0000-0000-000061450000}"/>
    <cellStyle name="SAPBEXresData 7 5 4" xfId="17511" xr:uid="{00000000-0005-0000-0000-000062450000}"/>
    <cellStyle name="SAPBEXresData 7 6" xfId="17512" xr:uid="{00000000-0005-0000-0000-000063450000}"/>
    <cellStyle name="SAPBEXresData 7 7" xfId="17513" xr:uid="{00000000-0005-0000-0000-000064450000}"/>
    <cellStyle name="SAPBEXresData 7 8" xfId="17514" xr:uid="{00000000-0005-0000-0000-000065450000}"/>
    <cellStyle name="SAPBEXresData 7 9" xfId="17515" xr:uid="{00000000-0005-0000-0000-000066450000}"/>
    <cellStyle name="SAPBEXresData 8" xfId="17516" xr:uid="{00000000-0005-0000-0000-000067450000}"/>
    <cellStyle name="SAPBEXresData 8 2" xfId="17517" xr:uid="{00000000-0005-0000-0000-000068450000}"/>
    <cellStyle name="SAPBEXresData 8 3" xfId="17518" xr:uid="{00000000-0005-0000-0000-000069450000}"/>
    <cellStyle name="SAPBEXresData 8 4" xfId="17519" xr:uid="{00000000-0005-0000-0000-00006A450000}"/>
    <cellStyle name="SAPBEXresData 8 5" xfId="17520" xr:uid="{00000000-0005-0000-0000-00006B450000}"/>
    <cellStyle name="SAPBEXresData 8 6" xfId="17521" xr:uid="{00000000-0005-0000-0000-00006C450000}"/>
    <cellStyle name="SAPBEXresData 9" xfId="17522" xr:uid="{00000000-0005-0000-0000-00006D450000}"/>
    <cellStyle name="SAPBEXresData 9 2" xfId="17523" xr:uid="{00000000-0005-0000-0000-00006E450000}"/>
    <cellStyle name="SAPBEXresData 9 3" xfId="17524" xr:uid="{00000000-0005-0000-0000-00006F450000}"/>
    <cellStyle name="SAPBEXresData 9 4" xfId="17525" xr:uid="{00000000-0005-0000-0000-000070450000}"/>
    <cellStyle name="SAPBEXresData 9 5" xfId="17526" xr:uid="{00000000-0005-0000-0000-000071450000}"/>
    <cellStyle name="SAPBEXresData 9 6" xfId="17527" xr:uid="{00000000-0005-0000-0000-000072450000}"/>
    <cellStyle name="SAPBEXresData_Receipts" xfId="17528" xr:uid="{00000000-0005-0000-0000-000073450000}"/>
    <cellStyle name="SAPBEXresDataEmph" xfId="17529" xr:uid="{00000000-0005-0000-0000-000074450000}"/>
    <cellStyle name="SAPBEXresDataEmph 10" xfId="17530" xr:uid="{00000000-0005-0000-0000-000075450000}"/>
    <cellStyle name="SAPBEXresDataEmph 11" xfId="17531" xr:uid="{00000000-0005-0000-0000-000076450000}"/>
    <cellStyle name="SAPBEXresDataEmph 12" xfId="17532" xr:uid="{00000000-0005-0000-0000-000077450000}"/>
    <cellStyle name="SAPBEXresDataEmph 13" xfId="17533" xr:uid="{00000000-0005-0000-0000-000078450000}"/>
    <cellStyle name="SAPBEXresDataEmph 14" xfId="17534" xr:uid="{00000000-0005-0000-0000-000079450000}"/>
    <cellStyle name="SAPBEXresDataEmph 15" xfId="17535" xr:uid="{00000000-0005-0000-0000-00007A450000}"/>
    <cellStyle name="SAPBEXresDataEmph 16" xfId="17536" xr:uid="{00000000-0005-0000-0000-00007B450000}"/>
    <cellStyle name="SAPBEXresDataEmph 17" xfId="17537" xr:uid="{00000000-0005-0000-0000-00007C450000}"/>
    <cellStyle name="SAPBEXresDataEmph 18" xfId="17538" xr:uid="{00000000-0005-0000-0000-00007D450000}"/>
    <cellStyle name="SAPBEXresDataEmph 19" xfId="17539" xr:uid="{00000000-0005-0000-0000-00007E450000}"/>
    <cellStyle name="SAPBEXresDataEmph 2" xfId="17540" xr:uid="{00000000-0005-0000-0000-00007F450000}"/>
    <cellStyle name="SAPBEXresDataEmph 2 10" xfId="17541" xr:uid="{00000000-0005-0000-0000-000080450000}"/>
    <cellStyle name="SAPBEXresDataEmph 2 10 2" xfId="17542" xr:uid="{00000000-0005-0000-0000-000081450000}"/>
    <cellStyle name="SAPBEXresDataEmph 2 10 3" xfId="17543" xr:uid="{00000000-0005-0000-0000-000082450000}"/>
    <cellStyle name="SAPBEXresDataEmph 2 10 4" xfId="17544" xr:uid="{00000000-0005-0000-0000-000083450000}"/>
    <cellStyle name="SAPBEXresDataEmph 2 11" xfId="17545" xr:uid="{00000000-0005-0000-0000-000084450000}"/>
    <cellStyle name="SAPBEXresDataEmph 2 11 2" xfId="17546" xr:uid="{00000000-0005-0000-0000-000085450000}"/>
    <cellStyle name="SAPBEXresDataEmph 2 11 3" xfId="17547" xr:uid="{00000000-0005-0000-0000-000086450000}"/>
    <cellStyle name="SAPBEXresDataEmph 2 11 4" xfId="17548" xr:uid="{00000000-0005-0000-0000-000087450000}"/>
    <cellStyle name="SAPBEXresDataEmph 2 12" xfId="17549" xr:uid="{00000000-0005-0000-0000-000088450000}"/>
    <cellStyle name="SAPBEXresDataEmph 2 12 2" xfId="17550" xr:uid="{00000000-0005-0000-0000-000089450000}"/>
    <cellStyle name="SAPBEXresDataEmph 2 12 3" xfId="17551" xr:uid="{00000000-0005-0000-0000-00008A450000}"/>
    <cellStyle name="SAPBEXresDataEmph 2 12 4" xfId="17552" xr:uid="{00000000-0005-0000-0000-00008B450000}"/>
    <cellStyle name="SAPBEXresDataEmph 2 13" xfId="17553" xr:uid="{00000000-0005-0000-0000-00008C450000}"/>
    <cellStyle name="SAPBEXresDataEmph 2 13 2" xfId="17554" xr:uid="{00000000-0005-0000-0000-00008D450000}"/>
    <cellStyle name="SAPBEXresDataEmph 2 13 3" xfId="17555" xr:uid="{00000000-0005-0000-0000-00008E450000}"/>
    <cellStyle name="SAPBEXresDataEmph 2 13 4" xfId="17556" xr:uid="{00000000-0005-0000-0000-00008F450000}"/>
    <cellStyle name="SAPBEXresDataEmph 2 2" xfId="17557" xr:uid="{00000000-0005-0000-0000-000090450000}"/>
    <cellStyle name="SAPBEXresDataEmph 2 2 2" xfId="17558" xr:uid="{00000000-0005-0000-0000-000091450000}"/>
    <cellStyle name="SAPBEXresDataEmph 2 2 3" xfId="17559" xr:uid="{00000000-0005-0000-0000-000092450000}"/>
    <cellStyle name="SAPBEXresDataEmph 2 2 4" xfId="17560" xr:uid="{00000000-0005-0000-0000-000093450000}"/>
    <cellStyle name="SAPBEXresDataEmph 2 2 5" xfId="17561" xr:uid="{00000000-0005-0000-0000-000094450000}"/>
    <cellStyle name="SAPBEXresDataEmph 2 2 6" xfId="17562" xr:uid="{00000000-0005-0000-0000-000095450000}"/>
    <cellStyle name="SAPBEXresDataEmph 2 2 7" xfId="17563" xr:uid="{00000000-0005-0000-0000-000096450000}"/>
    <cellStyle name="SAPBEXresDataEmph 2 2 8" xfId="17564" xr:uid="{00000000-0005-0000-0000-000097450000}"/>
    <cellStyle name="SAPBEXresDataEmph 2 3" xfId="17565" xr:uid="{00000000-0005-0000-0000-000098450000}"/>
    <cellStyle name="SAPBEXresDataEmph 2 3 2" xfId="17566" xr:uid="{00000000-0005-0000-0000-000099450000}"/>
    <cellStyle name="SAPBEXresDataEmph 2 3 3" xfId="17567" xr:uid="{00000000-0005-0000-0000-00009A450000}"/>
    <cellStyle name="SAPBEXresDataEmph 2 3 4" xfId="17568" xr:uid="{00000000-0005-0000-0000-00009B450000}"/>
    <cellStyle name="SAPBEXresDataEmph 2 3 5" xfId="17569" xr:uid="{00000000-0005-0000-0000-00009C450000}"/>
    <cellStyle name="SAPBEXresDataEmph 2 3 6" xfId="17570" xr:uid="{00000000-0005-0000-0000-00009D450000}"/>
    <cellStyle name="SAPBEXresDataEmph 2 3 7" xfId="17571" xr:uid="{00000000-0005-0000-0000-00009E450000}"/>
    <cellStyle name="SAPBEXresDataEmph 2 3 8" xfId="17572" xr:uid="{00000000-0005-0000-0000-00009F450000}"/>
    <cellStyle name="SAPBEXresDataEmph 2 4" xfId="17573" xr:uid="{00000000-0005-0000-0000-0000A0450000}"/>
    <cellStyle name="SAPBEXresDataEmph 2 4 2" xfId="17574" xr:uid="{00000000-0005-0000-0000-0000A1450000}"/>
    <cellStyle name="SAPBEXresDataEmph 2 4 3" xfId="17575" xr:uid="{00000000-0005-0000-0000-0000A2450000}"/>
    <cellStyle name="SAPBEXresDataEmph 2 4 4" xfId="17576" xr:uid="{00000000-0005-0000-0000-0000A3450000}"/>
    <cellStyle name="SAPBEXresDataEmph 2 4 5" xfId="17577" xr:uid="{00000000-0005-0000-0000-0000A4450000}"/>
    <cellStyle name="SAPBEXresDataEmph 2 4 6" xfId="17578" xr:uid="{00000000-0005-0000-0000-0000A5450000}"/>
    <cellStyle name="SAPBEXresDataEmph 2 4 7" xfId="17579" xr:uid="{00000000-0005-0000-0000-0000A6450000}"/>
    <cellStyle name="SAPBEXresDataEmph 2 4 8" xfId="17580" xr:uid="{00000000-0005-0000-0000-0000A7450000}"/>
    <cellStyle name="SAPBEXresDataEmph 2 5" xfId="17581" xr:uid="{00000000-0005-0000-0000-0000A8450000}"/>
    <cellStyle name="SAPBEXresDataEmph 2 5 2" xfId="17582" xr:uid="{00000000-0005-0000-0000-0000A9450000}"/>
    <cellStyle name="SAPBEXresDataEmph 2 5 3" xfId="17583" xr:uid="{00000000-0005-0000-0000-0000AA450000}"/>
    <cellStyle name="SAPBEXresDataEmph 2 5 4" xfId="17584" xr:uid="{00000000-0005-0000-0000-0000AB450000}"/>
    <cellStyle name="SAPBEXresDataEmph 2 6" xfId="17585" xr:uid="{00000000-0005-0000-0000-0000AC450000}"/>
    <cellStyle name="SAPBEXresDataEmph 2 6 2" xfId="17586" xr:uid="{00000000-0005-0000-0000-0000AD450000}"/>
    <cellStyle name="SAPBEXresDataEmph 2 6 3" xfId="17587" xr:uid="{00000000-0005-0000-0000-0000AE450000}"/>
    <cellStyle name="SAPBEXresDataEmph 2 6 4" xfId="17588" xr:uid="{00000000-0005-0000-0000-0000AF450000}"/>
    <cellStyle name="SAPBEXresDataEmph 2 7" xfId="17589" xr:uid="{00000000-0005-0000-0000-0000B0450000}"/>
    <cellStyle name="SAPBEXresDataEmph 2 7 2" xfId="17590" xr:uid="{00000000-0005-0000-0000-0000B1450000}"/>
    <cellStyle name="SAPBEXresDataEmph 2 7 3" xfId="17591" xr:uid="{00000000-0005-0000-0000-0000B2450000}"/>
    <cellStyle name="SAPBEXresDataEmph 2 7 4" xfId="17592" xr:uid="{00000000-0005-0000-0000-0000B3450000}"/>
    <cellStyle name="SAPBEXresDataEmph 2 8" xfId="17593" xr:uid="{00000000-0005-0000-0000-0000B4450000}"/>
    <cellStyle name="SAPBEXresDataEmph 2 8 2" xfId="17594" xr:uid="{00000000-0005-0000-0000-0000B5450000}"/>
    <cellStyle name="SAPBEXresDataEmph 2 8 3" xfId="17595" xr:uid="{00000000-0005-0000-0000-0000B6450000}"/>
    <cellStyle name="SAPBEXresDataEmph 2 8 4" xfId="17596" xr:uid="{00000000-0005-0000-0000-0000B7450000}"/>
    <cellStyle name="SAPBEXresDataEmph 2 9" xfId="17597" xr:uid="{00000000-0005-0000-0000-0000B8450000}"/>
    <cellStyle name="SAPBEXresDataEmph 2 9 2" xfId="17598" xr:uid="{00000000-0005-0000-0000-0000B9450000}"/>
    <cellStyle name="SAPBEXresDataEmph 2 9 3" xfId="17599" xr:uid="{00000000-0005-0000-0000-0000BA450000}"/>
    <cellStyle name="SAPBEXresDataEmph 2 9 4" xfId="17600" xr:uid="{00000000-0005-0000-0000-0000BB450000}"/>
    <cellStyle name="SAPBEXresDataEmph 20" xfId="17601" xr:uid="{00000000-0005-0000-0000-0000BC450000}"/>
    <cellStyle name="SAPBEXresDataEmph 21" xfId="17602" xr:uid="{00000000-0005-0000-0000-0000BD450000}"/>
    <cellStyle name="SAPBEXresDataEmph 22" xfId="17603" xr:uid="{00000000-0005-0000-0000-0000BE450000}"/>
    <cellStyle name="SAPBEXresDataEmph 23" xfId="17604" xr:uid="{00000000-0005-0000-0000-0000BF450000}"/>
    <cellStyle name="SAPBEXresDataEmph 24" xfId="17605" xr:uid="{00000000-0005-0000-0000-0000C0450000}"/>
    <cellStyle name="SAPBEXresDataEmph 25" xfId="17606" xr:uid="{00000000-0005-0000-0000-0000C1450000}"/>
    <cellStyle name="SAPBEXresDataEmph 25 2" xfId="17607" xr:uid="{00000000-0005-0000-0000-0000C2450000}"/>
    <cellStyle name="SAPBEXresDataEmph 25 3" xfId="17608" xr:uid="{00000000-0005-0000-0000-0000C3450000}"/>
    <cellStyle name="SAPBEXresDataEmph 25 4" xfId="17609" xr:uid="{00000000-0005-0000-0000-0000C4450000}"/>
    <cellStyle name="SAPBEXresDataEmph 25 5" xfId="17610" xr:uid="{00000000-0005-0000-0000-0000C5450000}"/>
    <cellStyle name="SAPBEXresDataEmph 26" xfId="17611" xr:uid="{00000000-0005-0000-0000-0000C6450000}"/>
    <cellStyle name="SAPBEXresDataEmph 27" xfId="17612" xr:uid="{00000000-0005-0000-0000-0000C7450000}"/>
    <cellStyle name="SAPBEXresDataEmph 28" xfId="17613" xr:uid="{00000000-0005-0000-0000-0000C8450000}"/>
    <cellStyle name="SAPBEXresDataEmph 29" xfId="17614" xr:uid="{00000000-0005-0000-0000-0000C9450000}"/>
    <cellStyle name="SAPBEXresDataEmph 3" xfId="17615" xr:uid="{00000000-0005-0000-0000-0000CA450000}"/>
    <cellStyle name="SAPBEXresDataEmph 3 2" xfId="17616" xr:uid="{00000000-0005-0000-0000-0000CB450000}"/>
    <cellStyle name="SAPBEXresDataEmph 3 2 2" xfId="17617" xr:uid="{00000000-0005-0000-0000-0000CC450000}"/>
    <cellStyle name="SAPBEXresDataEmph 3 2 3" xfId="17618" xr:uid="{00000000-0005-0000-0000-0000CD450000}"/>
    <cellStyle name="SAPBEXresDataEmph 3 2 4" xfId="17619" xr:uid="{00000000-0005-0000-0000-0000CE450000}"/>
    <cellStyle name="SAPBEXresDataEmph 3 2 5" xfId="17620" xr:uid="{00000000-0005-0000-0000-0000CF450000}"/>
    <cellStyle name="SAPBEXresDataEmph 3 2 6" xfId="17621" xr:uid="{00000000-0005-0000-0000-0000D0450000}"/>
    <cellStyle name="SAPBEXresDataEmph 3 2 7" xfId="17622" xr:uid="{00000000-0005-0000-0000-0000D1450000}"/>
    <cellStyle name="SAPBEXresDataEmph 3 2 8" xfId="17623" xr:uid="{00000000-0005-0000-0000-0000D2450000}"/>
    <cellStyle name="SAPBEXresDataEmph 3 3" xfId="17624" xr:uid="{00000000-0005-0000-0000-0000D3450000}"/>
    <cellStyle name="SAPBEXresDataEmph 3 4" xfId="17625" xr:uid="{00000000-0005-0000-0000-0000D4450000}"/>
    <cellStyle name="SAPBEXresDataEmph 3 5" xfId="17626" xr:uid="{00000000-0005-0000-0000-0000D5450000}"/>
    <cellStyle name="SAPBEXresDataEmph 3 5 2" xfId="17627" xr:uid="{00000000-0005-0000-0000-0000D6450000}"/>
    <cellStyle name="SAPBEXresDataEmph 3 5 3" xfId="17628" xr:uid="{00000000-0005-0000-0000-0000D7450000}"/>
    <cellStyle name="SAPBEXresDataEmph 3 5 4" xfId="17629" xr:uid="{00000000-0005-0000-0000-0000D8450000}"/>
    <cellStyle name="SAPBEXresDataEmph 3 6" xfId="17630" xr:uid="{00000000-0005-0000-0000-0000D9450000}"/>
    <cellStyle name="SAPBEXresDataEmph 3 6 2" xfId="17631" xr:uid="{00000000-0005-0000-0000-0000DA450000}"/>
    <cellStyle name="SAPBEXresDataEmph 3 6 3" xfId="17632" xr:uid="{00000000-0005-0000-0000-0000DB450000}"/>
    <cellStyle name="SAPBEXresDataEmph 3 6 4" xfId="17633" xr:uid="{00000000-0005-0000-0000-0000DC450000}"/>
    <cellStyle name="SAPBEXresDataEmph 3 7" xfId="17634" xr:uid="{00000000-0005-0000-0000-0000DD450000}"/>
    <cellStyle name="SAPBEXresDataEmph 3 7 2" xfId="17635" xr:uid="{00000000-0005-0000-0000-0000DE450000}"/>
    <cellStyle name="SAPBEXresDataEmph 3 7 3" xfId="17636" xr:uid="{00000000-0005-0000-0000-0000DF450000}"/>
    <cellStyle name="SAPBEXresDataEmph 3 7 4" xfId="17637" xr:uid="{00000000-0005-0000-0000-0000E0450000}"/>
    <cellStyle name="SAPBEXresDataEmph 30" xfId="17638" xr:uid="{00000000-0005-0000-0000-0000E1450000}"/>
    <cellStyle name="SAPBEXresDataEmph 31" xfId="17639" xr:uid="{00000000-0005-0000-0000-0000E2450000}"/>
    <cellStyle name="SAPBEXresDataEmph 32" xfId="17640" xr:uid="{00000000-0005-0000-0000-0000E3450000}"/>
    <cellStyle name="SAPBEXresDataEmph 33" xfId="17641" xr:uid="{00000000-0005-0000-0000-0000E4450000}"/>
    <cellStyle name="SAPBEXresDataEmph 34" xfId="17642" xr:uid="{00000000-0005-0000-0000-0000E5450000}"/>
    <cellStyle name="SAPBEXresDataEmph 35" xfId="27805" xr:uid="{00000000-0005-0000-0000-0000E6450000}"/>
    <cellStyle name="SAPBEXresDataEmph 36" xfId="27932" xr:uid="{00000000-0005-0000-0000-0000E7450000}"/>
    <cellStyle name="SAPBEXresDataEmph 37" xfId="28164" xr:uid="{00000000-0005-0000-0000-0000E8450000}"/>
    <cellStyle name="SAPBEXresDataEmph 4" xfId="17643" xr:uid="{00000000-0005-0000-0000-0000E9450000}"/>
    <cellStyle name="SAPBEXresDataEmph 5" xfId="17644" xr:uid="{00000000-0005-0000-0000-0000EA450000}"/>
    <cellStyle name="SAPBEXresDataEmph 6" xfId="17645" xr:uid="{00000000-0005-0000-0000-0000EB450000}"/>
    <cellStyle name="SAPBEXresDataEmph 6 2" xfId="17646" xr:uid="{00000000-0005-0000-0000-0000EC450000}"/>
    <cellStyle name="SAPBEXresDataEmph 6 2 2" xfId="17647" xr:uid="{00000000-0005-0000-0000-0000ED450000}"/>
    <cellStyle name="SAPBEXresDataEmph 6 2 3" xfId="17648" xr:uid="{00000000-0005-0000-0000-0000EE450000}"/>
    <cellStyle name="SAPBEXresDataEmph 6 2 4" xfId="17649" xr:uid="{00000000-0005-0000-0000-0000EF450000}"/>
    <cellStyle name="SAPBEXresDataEmph 6 3" xfId="17650" xr:uid="{00000000-0005-0000-0000-0000F0450000}"/>
    <cellStyle name="SAPBEXresDataEmph 6 3 2" xfId="17651" xr:uid="{00000000-0005-0000-0000-0000F1450000}"/>
    <cellStyle name="SAPBEXresDataEmph 6 3 3" xfId="17652" xr:uid="{00000000-0005-0000-0000-0000F2450000}"/>
    <cellStyle name="SAPBEXresDataEmph 6 3 4" xfId="17653" xr:uid="{00000000-0005-0000-0000-0000F3450000}"/>
    <cellStyle name="SAPBEXresDataEmph 6 4" xfId="17654" xr:uid="{00000000-0005-0000-0000-0000F4450000}"/>
    <cellStyle name="SAPBEXresDataEmph 6 4 2" xfId="17655" xr:uid="{00000000-0005-0000-0000-0000F5450000}"/>
    <cellStyle name="SAPBEXresDataEmph 6 4 3" xfId="17656" xr:uid="{00000000-0005-0000-0000-0000F6450000}"/>
    <cellStyle name="SAPBEXresDataEmph 6 4 4" xfId="17657" xr:uid="{00000000-0005-0000-0000-0000F7450000}"/>
    <cellStyle name="SAPBEXresDataEmph 6 5" xfId="17658" xr:uid="{00000000-0005-0000-0000-0000F8450000}"/>
    <cellStyle name="SAPBEXresDataEmph 6 5 2" xfId="17659" xr:uid="{00000000-0005-0000-0000-0000F9450000}"/>
    <cellStyle name="SAPBEXresDataEmph 6 5 3" xfId="17660" xr:uid="{00000000-0005-0000-0000-0000FA450000}"/>
    <cellStyle name="SAPBEXresDataEmph 6 5 4" xfId="17661" xr:uid="{00000000-0005-0000-0000-0000FB450000}"/>
    <cellStyle name="SAPBEXresDataEmph 7" xfId="17662" xr:uid="{00000000-0005-0000-0000-0000FC450000}"/>
    <cellStyle name="SAPBEXresDataEmph 7 2" xfId="17663" xr:uid="{00000000-0005-0000-0000-0000FD450000}"/>
    <cellStyle name="SAPBEXresDataEmph 7 2 2" xfId="17664" xr:uid="{00000000-0005-0000-0000-0000FE450000}"/>
    <cellStyle name="SAPBEXresDataEmph 7 2 3" xfId="17665" xr:uid="{00000000-0005-0000-0000-0000FF450000}"/>
    <cellStyle name="SAPBEXresDataEmph 7 2 4" xfId="17666" xr:uid="{00000000-0005-0000-0000-000000460000}"/>
    <cellStyle name="SAPBEXresDataEmph 7 3" xfId="17667" xr:uid="{00000000-0005-0000-0000-000001460000}"/>
    <cellStyle name="SAPBEXresDataEmph 7 3 2" xfId="17668" xr:uid="{00000000-0005-0000-0000-000002460000}"/>
    <cellStyle name="SAPBEXresDataEmph 7 3 3" xfId="17669" xr:uid="{00000000-0005-0000-0000-000003460000}"/>
    <cellStyle name="SAPBEXresDataEmph 7 3 4" xfId="17670" xr:uid="{00000000-0005-0000-0000-000004460000}"/>
    <cellStyle name="SAPBEXresDataEmph 7 4" xfId="17671" xr:uid="{00000000-0005-0000-0000-000005460000}"/>
    <cellStyle name="SAPBEXresDataEmph 7 4 2" xfId="17672" xr:uid="{00000000-0005-0000-0000-000006460000}"/>
    <cellStyle name="SAPBEXresDataEmph 7 4 3" xfId="17673" xr:uid="{00000000-0005-0000-0000-000007460000}"/>
    <cellStyle name="SAPBEXresDataEmph 7 4 4" xfId="17674" xr:uid="{00000000-0005-0000-0000-000008460000}"/>
    <cellStyle name="SAPBEXresDataEmph 7 5" xfId="17675" xr:uid="{00000000-0005-0000-0000-000009460000}"/>
    <cellStyle name="SAPBEXresDataEmph 7 5 2" xfId="17676" xr:uid="{00000000-0005-0000-0000-00000A460000}"/>
    <cellStyle name="SAPBEXresDataEmph 7 5 3" xfId="17677" xr:uid="{00000000-0005-0000-0000-00000B460000}"/>
    <cellStyle name="SAPBEXresDataEmph 7 5 4" xfId="17678" xr:uid="{00000000-0005-0000-0000-00000C460000}"/>
    <cellStyle name="SAPBEXresDataEmph 8" xfId="17679" xr:uid="{00000000-0005-0000-0000-00000D460000}"/>
    <cellStyle name="SAPBEXresDataEmph 9" xfId="17680" xr:uid="{00000000-0005-0000-0000-00000E460000}"/>
    <cellStyle name="SAPBEXresDataEmph_Receipts" xfId="17681" xr:uid="{00000000-0005-0000-0000-00000F460000}"/>
    <cellStyle name="SAPBEXresItem" xfId="17682" xr:uid="{00000000-0005-0000-0000-000010460000}"/>
    <cellStyle name="SAPBEXresItem 10" xfId="17683" xr:uid="{00000000-0005-0000-0000-000011460000}"/>
    <cellStyle name="SAPBEXresItem 10 2" xfId="17684" xr:uid="{00000000-0005-0000-0000-000012460000}"/>
    <cellStyle name="SAPBEXresItem 10 3" xfId="17685" xr:uid="{00000000-0005-0000-0000-000013460000}"/>
    <cellStyle name="SAPBEXresItem 10 4" xfId="17686" xr:uid="{00000000-0005-0000-0000-000014460000}"/>
    <cellStyle name="SAPBEXresItem 10 5" xfId="17687" xr:uid="{00000000-0005-0000-0000-000015460000}"/>
    <cellStyle name="SAPBEXresItem 10 6" xfId="17688" xr:uid="{00000000-0005-0000-0000-000016460000}"/>
    <cellStyle name="SAPBEXresItem 11" xfId="17689" xr:uid="{00000000-0005-0000-0000-000017460000}"/>
    <cellStyle name="SAPBEXresItem 11 2" xfId="17690" xr:uid="{00000000-0005-0000-0000-000018460000}"/>
    <cellStyle name="SAPBEXresItem 11 3" xfId="17691" xr:uid="{00000000-0005-0000-0000-000019460000}"/>
    <cellStyle name="SAPBEXresItem 11 4" xfId="17692" xr:uid="{00000000-0005-0000-0000-00001A460000}"/>
    <cellStyle name="SAPBEXresItem 11 5" xfId="17693" xr:uid="{00000000-0005-0000-0000-00001B460000}"/>
    <cellStyle name="SAPBEXresItem 11 6" xfId="17694" xr:uid="{00000000-0005-0000-0000-00001C460000}"/>
    <cellStyle name="SAPBEXresItem 12" xfId="17695" xr:uid="{00000000-0005-0000-0000-00001D460000}"/>
    <cellStyle name="SAPBEXresItem 12 2" xfId="17696" xr:uid="{00000000-0005-0000-0000-00001E460000}"/>
    <cellStyle name="SAPBEXresItem 12 3" xfId="17697" xr:uid="{00000000-0005-0000-0000-00001F460000}"/>
    <cellStyle name="SAPBEXresItem 12 4" xfId="17698" xr:uid="{00000000-0005-0000-0000-000020460000}"/>
    <cellStyle name="SAPBEXresItem 12 5" xfId="17699" xr:uid="{00000000-0005-0000-0000-000021460000}"/>
    <cellStyle name="SAPBEXresItem 12 6" xfId="17700" xr:uid="{00000000-0005-0000-0000-000022460000}"/>
    <cellStyle name="SAPBEXresItem 13" xfId="17701" xr:uid="{00000000-0005-0000-0000-000023460000}"/>
    <cellStyle name="SAPBEXresItem 13 2" xfId="17702" xr:uid="{00000000-0005-0000-0000-000024460000}"/>
    <cellStyle name="SAPBEXresItem 13 3" xfId="17703" xr:uid="{00000000-0005-0000-0000-000025460000}"/>
    <cellStyle name="SAPBEXresItem 13 4" xfId="17704" xr:uid="{00000000-0005-0000-0000-000026460000}"/>
    <cellStyle name="SAPBEXresItem 13 5" xfId="17705" xr:uid="{00000000-0005-0000-0000-000027460000}"/>
    <cellStyle name="SAPBEXresItem 13 6" xfId="17706" xr:uid="{00000000-0005-0000-0000-000028460000}"/>
    <cellStyle name="SAPBEXresItem 14" xfId="17707" xr:uid="{00000000-0005-0000-0000-000029460000}"/>
    <cellStyle name="SAPBEXresItem 14 2" xfId="17708" xr:uid="{00000000-0005-0000-0000-00002A460000}"/>
    <cellStyle name="SAPBEXresItem 14 3" xfId="17709" xr:uid="{00000000-0005-0000-0000-00002B460000}"/>
    <cellStyle name="SAPBEXresItem 14 4" xfId="17710" xr:uid="{00000000-0005-0000-0000-00002C460000}"/>
    <cellStyle name="SAPBEXresItem 14 5" xfId="17711" xr:uid="{00000000-0005-0000-0000-00002D460000}"/>
    <cellStyle name="SAPBEXresItem 14 6" xfId="17712" xr:uid="{00000000-0005-0000-0000-00002E460000}"/>
    <cellStyle name="SAPBEXresItem 15" xfId="17713" xr:uid="{00000000-0005-0000-0000-00002F460000}"/>
    <cellStyle name="SAPBEXresItem 15 2" xfId="17714" xr:uid="{00000000-0005-0000-0000-000030460000}"/>
    <cellStyle name="SAPBEXresItem 15 3" xfId="17715" xr:uid="{00000000-0005-0000-0000-000031460000}"/>
    <cellStyle name="SAPBEXresItem 15 4" xfId="17716" xr:uid="{00000000-0005-0000-0000-000032460000}"/>
    <cellStyle name="SAPBEXresItem 15 5" xfId="17717" xr:uid="{00000000-0005-0000-0000-000033460000}"/>
    <cellStyle name="SAPBEXresItem 15 6" xfId="17718" xr:uid="{00000000-0005-0000-0000-000034460000}"/>
    <cellStyle name="SAPBEXresItem 16" xfId="17719" xr:uid="{00000000-0005-0000-0000-000035460000}"/>
    <cellStyle name="SAPBEXresItem 16 2" xfId="17720" xr:uid="{00000000-0005-0000-0000-000036460000}"/>
    <cellStyle name="SAPBEXresItem 16 3" xfId="17721" xr:uid="{00000000-0005-0000-0000-000037460000}"/>
    <cellStyle name="SAPBEXresItem 16 4" xfId="17722" xr:uid="{00000000-0005-0000-0000-000038460000}"/>
    <cellStyle name="SAPBEXresItem 16 5" xfId="17723" xr:uid="{00000000-0005-0000-0000-000039460000}"/>
    <cellStyle name="SAPBEXresItem 16 6" xfId="17724" xr:uid="{00000000-0005-0000-0000-00003A460000}"/>
    <cellStyle name="SAPBEXresItem 17" xfId="17725" xr:uid="{00000000-0005-0000-0000-00003B460000}"/>
    <cellStyle name="SAPBEXresItem 17 2" xfId="17726" xr:uid="{00000000-0005-0000-0000-00003C460000}"/>
    <cellStyle name="SAPBEXresItem 17 3" xfId="17727" xr:uid="{00000000-0005-0000-0000-00003D460000}"/>
    <cellStyle name="SAPBEXresItem 17 4" xfId="17728" xr:uid="{00000000-0005-0000-0000-00003E460000}"/>
    <cellStyle name="SAPBEXresItem 17 5" xfId="17729" xr:uid="{00000000-0005-0000-0000-00003F460000}"/>
    <cellStyle name="SAPBEXresItem 17 6" xfId="17730" xr:uid="{00000000-0005-0000-0000-000040460000}"/>
    <cellStyle name="SAPBEXresItem 18" xfId="17731" xr:uid="{00000000-0005-0000-0000-000041460000}"/>
    <cellStyle name="SAPBEXresItem 18 2" xfId="17732" xr:uid="{00000000-0005-0000-0000-000042460000}"/>
    <cellStyle name="SAPBEXresItem 18 3" xfId="17733" xr:uid="{00000000-0005-0000-0000-000043460000}"/>
    <cellStyle name="SAPBEXresItem 18 4" xfId="17734" xr:uid="{00000000-0005-0000-0000-000044460000}"/>
    <cellStyle name="SAPBEXresItem 18 5" xfId="17735" xr:uid="{00000000-0005-0000-0000-000045460000}"/>
    <cellStyle name="SAPBEXresItem 18 6" xfId="17736" xr:uid="{00000000-0005-0000-0000-000046460000}"/>
    <cellStyle name="SAPBEXresItem 19" xfId="17737" xr:uid="{00000000-0005-0000-0000-000047460000}"/>
    <cellStyle name="SAPBEXresItem 19 2" xfId="17738" xr:uid="{00000000-0005-0000-0000-000048460000}"/>
    <cellStyle name="SAPBEXresItem 19 3" xfId="17739" xr:uid="{00000000-0005-0000-0000-000049460000}"/>
    <cellStyle name="SAPBEXresItem 19 4" xfId="17740" xr:uid="{00000000-0005-0000-0000-00004A460000}"/>
    <cellStyle name="SAPBEXresItem 19 5" xfId="17741" xr:uid="{00000000-0005-0000-0000-00004B460000}"/>
    <cellStyle name="SAPBEXresItem 19 6" xfId="17742" xr:uid="{00000000-0005-0000-0000-00004C460000}"/>
    <cellStyle name="SAPBEXresItem 2" xfId="17743" xr:uid="{00000000-0005-0000-0000-00004D460000}"/>
    <cellStyle name="SAPBEXresItem 2 10" xfId="17744" xr:uid="{00000000-0005-0000-0000-00004E460000}"/>
    <cellStyle name="SAPBEXresItem 2 10 2" xfId="17745" xr:uid="{00000000-0005-0000-0000-00004F460000}"/>
    <cellStyle name="SAPBEXresItem 2 10 3" xfId="17746" xr:uid="{00000000-0005-0000-0000-000050460000}"/>
    <cellStyle name="SAPBEXresItem 2 10 4" xfId="17747" xr:uid="{00000000-0005-0000-0000-000051460000}"/>
    <cellStyle name="SAPBEXresItem 2 11" xfId="17748" xr:uid="{00000000-0005-0000-0000-000052460000}"/>
    <cellStyle name="SAPBEXresItem 2 11 2" xfId="17749" xr:uid="{00000000-0005-0000-0000-000053460000}"/>
    <cellStyle name="SAPBEXresItem 2 11 3" xfId="17750" xr:uid="{00000000-0005-0000-0000-000054460000}"/>
    <cellStyle name="SAPBEXresItem 2 11 4" xfId="17751" xr:uid="{00000000-0005-0000-0000-000055460000}"/>
    <cellStyle name="SAPBEXresItem 2 12" xfId="17752" xr:uid="{00000000-0005-0000-0000-000056460000}"/>
    <cellStyle name="SAPBEXresItem 2 12 2" xfId="17753" xr:uid="{00000000-0005-0000-0000-000057460000}"/>
    <cellStyle name="SAPBEXresItem 2 12 3" xfId="17754" xr:uid="{00000000-0005-0000-0000-000058460000}"/>
    <cellStyle name="SAPBEXresItem 2 12 4" xfId="17755" xr:uid="{00000000-0005-0000-0000-000059460000}"/>
    <cellStyle name="SAPBEXresItem 2 13" xfId="17756" xr:uid="{00000000-0005-0000-0000-00005A460000}"/>
    <cellStyle name="SAPBEXresItem 2 13 2" xfId="17757" xr:uid="{00000000-0005-0000-0000-00005B460000}"/>
    <cellStyle name="SAPBEXresItem 2 13 3" xfId="17758" xr:uid="{00000000-0005-0000-0000-00005C460000}"/>
    <cellStyle name="SAPBEXresItem 2 13 4" xfId="17759" xr:uid="{00000000-0005-0000-0000-00005D460000}"/>
    <cellStyle name="SAPBEXresItem 2 14" xfId="17760" xr:uid="{00000000-0005-0000-0000-00005E460000}"/>
    <cellStyle name="SAPBEXresItem 2 15" xfId="17761" xr:uid="{00000000-0005-0000-0000-00005F460000}"/>
    <cellStyle name="SAPBEXresItem 2 16" xfId="17762" xr:uid="{00000000-0005-0000-0000-000060460000}"/>
    <cellStyle name="SAPBEXresItem 2 17" xfId="17763" xr:uid="{00000000-0005-0000-0000-000061460000}"/>
    <cellStyle name="SAPBEXresItem 2 18" xfId="17764" xr:uid="{00000000-0005-0000-0000-000062460000}"/>
    <cellStyle name="SAPBEXresItem 2 2" xfId="17765" xr:uid="{00000000-0005-0000-0000-000063460000}"/>
    <cellStyle name="SAPBEXresItem 2 2 2" xfId="17766" xr:uid="{00000000-0005-0000-0000-000064460000}"/>
    <cellStyle name="SAPBEXresItem 2 2 2 2" xfId="17767" xr:uid="{00000000-0005-0000-0000-000065460000}"/>
    <cellStyle name="SAPBEXresItem 2 2 2 3" xfId="17768" xr:uid="{00000000-0005-0000-0000-000066460000}"/>
    <cellStyle name="SAPBEXresItem 2 2 2 4" xfId="17769" xr:uid="{00000000-0005-0000-0000-000067460000}"/>
    <cellStyle name="SAPBEXresItem 2 2 2 5" xfId="17770" xr:uid="{00000000-0005-0000-0000-000068460000}"/>
    <cellStyle name="SAPBEXresItem 2 2 2 6" xfId="17771" xr:uid="{00000000-0005-0000-0000-000069460000}"/>
    <cellStyle name="SAPBEXresItem 2 2 3" xfId="17772" xr:uid="{00000000-0005-0000-0000-00006A460000}"/>
    <cellStyle name="SAPBEXresItem 2 2 3 2" xfId="17773" xr:uid="{00000000-0005-0000-0000-00006B460000}"/>
    <cellStyle name="SAPBEXresItem 2 2 3 3" xfId="17774" xr:uid="{00000000-0005-0000-0000-00006C460000}"/>
    <cellStyle name="SAPBEXresItem 2 2 3 4" xfId="17775" xr:uid="{00000000-0005-0000-0000-00006D460000}"/>
    <cellStyle name="SAPBEXresItem 2 2 3 5" xfId="17776" xr:uid="{00000000-0005-0000-0000-00006E460000}"/>
    <cellStyle name="SAPBEXresItem 2 2 3 6" xfId="17777" xr:uid="{00000000-0005-0000-0000-00006F460000}"/>
    <cellStyle name="SAPBEXresItem 2 2 4" xfId="17778" xr:uid="{00000000-0005-0000-0000-000070460000}"/>
    <cellStyle name="SAPBEXresItem 2 2 4 2" xfId="17779" xr:uid="{00000000-0005-0000-0000-000071460000}"/>
    <cellStyle name="SAPBEXresItem 2 2 4 3" xfId="17780" xr:uid="{00000000-0005-0000-0000-000072460000}"/>
    <cellStyle name="SAPBEXresItem 2 2 4 4" xfId="17781" xr:uid="{00000000-0005-0000-0000-000073460000}"/>
    <cellStyle name="SAPBEXresItem 2 2 4 5" xfId="17782" xr:uid="{00000000-0005-0000-0000-000074460000}"/>
    <cellStyle name="SAPBEXresItem 2 2 4 6" xfId="17783" xr:uid="{00000000-0005-0000-0000-000075460000}"/>
    <cellStyle name="SAPBEXresItem 2 2 5" xfId="17784" xr:uid="{00000000-0005-0000-0000-000076460000}"/>
    <cellStyle name="SAPBEXresItem 2 2 5 2" xfId="17785" xr:uid="{00000000-0005-0000-0000-000077460000}"/>
    <cellStyle name="SAPBEXresItem 2 2 5 3" xfId="17786" xr:uid="{00000000-0005-0000-0000-000078460000}"/>
    <cellStyle name="SAPBEXresItem 2 2 5 4" xfId="17787" xr:uid="{00000000-0005-0000-0000-000079460000}"/>
    <cellStyle name="SAPBEXresItem 2 2 5 5" xfId="17788" xr:uid="{00000000-0005-0000-0000-00007A460000}"/>
    <cellStyle name="SAPBEXresItem 2 2 5 6" xfId="17789" xr:uid="{00000000-0005-0000-0000-00007B460000}"/>
    <cellStyle name="SAPBEXresItem 2 2 6" xfId="17790" xr:uid="{00000000-0005-0000-0000-00007C460000}"/>
    <cellStyle name="SAPBEXresItem 2 2 7" xfId="17791" xr:uid="{00000000-0005-0000-0000-00007D460000}"/>
    <cellStyle name="SAPBEXresItem 2 2 8" xfId="17792" xr:uid="{00000000-0005-0000-0000-00007E460000}"/>
    <cellStyle name="SAPBEXresItem 2 3" xfId="17793" xr:uid="{00000000-0005-0000-0000-00007F460000}"/>
    <cellStyle name="SAPBEXresItem 2 3 2" xfId="17794" xr:uid="{00000000-0005-0000-0000-000080460000}"/>
    <cellStyle name="SAPBEXresItem 2 3 2 2" xfId="17795" xr:uid="{00000000-0005-0000-0000-000081460000}"/>
    <cellStyle name="SAPBEXresItem 2 3 2 3" xfId="17796" xr:uid="{00000000-0005-0000-0000-000082460000}"/>
    <cellStyle name="SAPBEXresItem 2 3 2 4" xfId="17797" xr:uid="{00000000-0005-0000-0000-000083460000}"/>
    <cellStyle name="SAPBEXresItem 2 3 2 5" xfId="17798" xr:uid="{00000000-0005-0000-0000-000084460000}"/>
    <cellStyle name="SAPBEXresItem 2 3 2 6" xfId="17799" xr:uid="{00000000-0005-0000-0000-000085460000}"/>
    <cellStyle name="SAPBEXresItem 2 3 3" xfId="17800" xr:uid="{00000000-0005-0000-0000-000086460000}"/>
    <cellStyle name="SAPBEXresItem 2 3 3 2" xfId="17801" xr:uid="{00000000-0005-0000-0000-000087460000}"/>
    <cellStyle name="SAPBEXresItem 2 3 3 3" xfId="17802" xr:uid="{00000000-0005-0000-0000-000088460000}"/>
    <cellStyle name="SAPBEXresItem 2 3 3 4" xfId="17803" xr:uid="{00000000-0005-0000-0000-000089460000}"/>
    <cellStyle name="SAPBEXresItem 2 3 3 5" xfId="17804" xr:uid="{00000000-0005-0000-0000-00008A460000}"/>
    <cellStyle name="SAPBEXresItem 2 3 3 6" xfId="17805" xr:uid="{00000000-0005-0000-0000-00008B460000}"/>
    <cellStyle name="SAPBEXresItem 2 3 4" xfId="17806" xr:uid="{00000000-0005-0000-0000-00008C460000}"/>
    <cellStyle name="SAPBEXresItem 2 3 4 2" xfId="17807" xr:uid="{00000000-0005-0000-0000-00008D460000}"/>
    <cellStyle name="SAPBEXresItem 2 3 4 3" xfId="17808" xr:uid="{00000000-0005-0000-0000-00008E460000}"/>
    <cellStyle name="SAPBEXresItem 2 3 4 4" xfId="17809" xr:uid="{00000000-0005-0000-0000-00008F460000}"/>
    <cellStyle name="SAPBEXresItem 2 3 4 5" xfId="17810" xr:uid="{00000000-0005-0000-0000-000090460000}"/>
    <cellStyle name="SAPBEXresItem 2 3 4 6" xfId="17811" xr:uid="{00000000-0005-0000-0000-000091460000}"/>
    <cellStyle name="SAPBEXresItem 2 3 5" xfId="17812" xr:uid="{00000000-0005-0000-0000-000092460000}"/>
    <cellStyle name="SAPBEXresItem 2 3 5 2" xfId="17813" xr:uid="{00000000-0005-0000-0000-000093460000}"/>
    <cellStyle name="SAPBEXresItem 2 3 5 3" xfId="17814" xr:uid="{00000000-0005-0000-0000-000094460000}"/>
    <cellStyle name="SAPBEXresItem 2 3 5 4" xfId="17815" xr:uid="{00000000-0005-0000-0000-000095460000}"/>
    <cellStyle name="SAPBEXresItem 2 3 5 5" xfId="17816" xr:uid="{00000000-0005-0000-0000-000096460000}"/>
    <cellStyle name="SAPBEXresItem 2 3 5 6" xfId="17817" xr:uid="{00000000-0005-0000-0000-000097460000}"/>
    <cellStyle name="SAPBEXresItem 2 3 6" xfId="17818" xr:uid="{00000000-0005-0000-0000-000098460000}"/>
    <cellStyle name="SAPBEXresItem 2 3 7" xfId="17819" xr:uid="{00000000-0005-0000-0000-000099460000}"/>
    <cellStyle name="SAPBEXresItem 2 3 8" xfId="17820" xr:uid="{00000000-0005-0000-0000-00009A460000}"/>
    <cellStyle name="SAPBEXresItem 2 4" xfId="17821" xr:uid="{00000000-0005-0000-0000-00009B460000}"/>
    <cellStyle name="SAPBEXresItem 2 4 2" xfId="17822" xr:uid="{00000000-0005-0000-0000-00009C460000}"/>
    <cellStyle name="SAPBEXresItem 2 4 2 2" xfId="17823" xr:uid="{00000000-0005-0000-0000-00009D460000}"/>
    <cellStyle name="SAPBEXresItem 2 4 2 3" xfId="17824" xr:uid="{00000000-0005-0000-0000-00009E460000}"/>
    <cellStyle name="SAPBEXresItem 2 4 2 4" xfId="17825" xr:uid="{00000000-0005-0000-0000-00009F460000}"/>
    <cellStyle name="SAPBEXresItem 2 4 2 5" xfId="17826" xr:uid="{00000000-0005-0000-0000-0000A0460000}"/>
    <cellStyle name="SAPBEXresItem 2 4 2 6" xfId="17827" xr:uid="{00000000-0005-0000-0000-0000A1460000}"/>
    <cellStyle name="SAPBEXresItem 2 4 3" xfId="17828" xr:uid="{00000000-0005-0000-0000-0000A2460000}"/>
    <cellStyle name="SAPBEXresItem 2 4 3 2" xfId="17829" xr:uid="{00000000-0005-0000-0000-0000A3460000}"/>
    <cellStyle name="SAPBEXresItem 2 4 3 3" xfId="17830" xr:uid="{00000000-0005-0000-0000-0000A4460000}"/>
    <cellStyle name="SAPBEXresItem 2 4 3 4" xfId="17831" xr:uid="{00000000-0005-0000-0000-0000A5460000}"/>
    <cellStyle name="SAPBEXresItem 2 4 3 5" xfId="17832" xr:uid="{00000000-0005-0000-0000-0000A6460000}"/>
    <cellStyle name="SAPBEXresItem 2 4 3 6" xfId="17833" xr:uid="{00000000-0005-0000-0000-0000A7460000}"/>
    <cellStyle name="SAPBEXresItem 2 4 4" xfId="17834" xr:uid="{00000000-0005-0000-0000-0000A8460000}"/>
    <cellStyle name="SAPBEXresItem 2 4 4 2" xfId="17835" xr:uid="{00000000-0005-0000-0000-0000A9460000}"/>
    <cellStyle name="SAPBEXresItem 2 4 4 3" xfId="17836" xr:uid="{00000000-0005-0000-0000-0000AA460000}"/>
    <cellStyle name="SAPBEXresItem 2 4 4 4" xfId="17837" xr:uid="{00000000-0005-0000-0000-0000AB460000}"/>
    <cellStyle name="SAPBEXresItem 2 4 4 5" xfId="17838" xr:uid="{00000000-0005-0000-0000-0000AC460000}"/>
    <cellStyle name="SAPBEXresItem 2 4 4 6" xfId="17839" xr:uid="{00000000-0005-0000-0000-0000AD460000}"/>
    <cellStyle name="SAPBEXresItem 2 4 5" xfId="17840" xr:uid="{00000000-0005-0000-0000-0000AE460000}"/>
    <cellStyle name="SAPBEXresItem 2 4 5 2" xfId="17841" xr:uid="{00000000-0005-0000-0000-0000AF460000}"/>
    <cellStyle name="SAPBEXresItem 2 4 5 3" xfId="17842" xr:uid="{00000000-0005-0000-0000-0000B0460000}"/>
    <cellStyle name="SAPBEXresItem 2 4 5 4" xfId="17843" xr:uid="{00000000-0005-0000-0000-0000B1460000}"/>
    <cellStyle name="SAPBEXresItem 2 4 5 5" xfId="17844" xr:uid="{00000000-0005-0000-0000-0000B2460000}"/>
    <cellStyle name="SAPBEXresItem 2 4 5 6" xfId="17845" xr:uid="{00000000-0005-0000-0000-0000B3460000}"/>
    <cellStyle name="SAPBEXresItem 2 4 6" xfId="17846" xr:uid="{00000000-0005-0000-0000-0000B4460000}"/>
    <cellStyle name="SAPBEXresItem 2 4 7" xfId="17847" xr:uid="{00000000-0005-0000-0000-0000B5460000}"/>
    <cellStyle name="SAPBEXresItem 2 4 8" xfId="17848" xr:uid="{00000000-0005-0000-0000-0000B6460000}"/>
    <cellStyle name="SAPBEXresItem 2 5" xfId="17849" xr:uid="{00000000-0005-0000-0000-0000B7460000}"/>
    <cellStyle name="SAPBEXresItem 2 5 2" xfId="17850" xr:uid="{00000000-0005-0000-0000-0000B8460000}"/>
    <cellStyle name="SAPBEXresItem 2 5 3" xfId="17851" xr:uid="{00000000-0005-0000-0000-0000B9460000}"/>
    <cellStyle name="SAPBEXresItem 2 5 4" xfId="17852" xr:uid="{00000000-0005-0000-0000-0000BA460000}"/>
    <cellStyle name="SAPBEXresItem 2 6" xfId="17853" xr:uid="{00000000-0005-0000-0000-0000BB460000}"/>
    <cellStyle name="SAPBEXresItem 2 6 2" xfId="17854" xr:uid="{00000000-0005-0000-0000-0000BC460000}"/>
    <cellStyle name="SAPBEXresItem 2 6 3" xfId="17855" xr:uid="{00000000-0005-0000-0000-0000BD460000}"/>
    <cellStyle name="SAPBEXresItem 2 6 4" xfId="17856" xr:uid="{00000000-0005-0000-0000-0000BE460000}"/>
    <cellStyle name="SAPBEXresItem 2 7" xfId="17857" xr:uid="{00000000-0005-0000-0000-0000BF460000}"/>
    <cellStyle name="SAPBEXresItem 2 7 2" xfId="17858" xr:uid="{00000000-0005-0000-0000-0000C0460000}"/>
    <cellStyle name="SAPBEXresItem 2 7 3" xfId="17859" xr:uid="{00000000-0005-0000-0000-0000C1460000}"/>
    <cellStyle name="SAPBEXresItem 2 7 4" xfId="17860" xr:uid="{00000000-0005-0000-0000-0000C2460000}"/>
    <cellStyle name="SAPBEXresItem 2 8" xfId="17861" xr:uid="{00000000-0005-0000-0000-0000C3460000}"/>
    <cellStyle name="SAPBEXresItem 2 8 2" xfId="17862" xr:uid="{00000000-0005-0000-0000-0000C4460000}"/>
    <cellStyle name="SAPBEXresItem 2 8 3" xfId="17863" xr:uid="{00000000-0005-0000-0000-0000C5460000}"/>
    <cellStyle name="SAPBEXresItem 2 8 4" xfId="17864" xr:uid="{00000000-0005-0000-0000-0000C6460000}"/>
    <cellStyle name="SAPBEXresItem 2 9" xfId="17865" xr:uid="{00000000-0005-0000-0000-0000C7460000}"/>
    <cellStyle name="SAPBEXresItem 2 9 2" xfId="17866" xr:uid="{00000000-0005-0000-0000-0000C8460000}"/>
    <cellStyle name="SAPBEXresItem 2 9 3" xfId="17867" xr:uid="{00000000-0005-0000-0000-0000C9460000}"/>
    <cellStyle name="SAPBEXresItem 2 9 4" xfId="17868" xr:uid="{00000000-0005-0000-0000-0000CA460000}"/>
    <cellStyle name="SAPBEXresItem 20" xfId="17869" xr:uid="{00000000-0005-0000-0000-0000CB460000}"/>
    <cellStyle name="SAPBEXresItem 20 2" xfId="17870" xr:uid="{00000000-0005-0000-0000-0000CC460000}"/>
    <cellStyle name="SAPBEXresItem 20 3" xfId="17871" xr:uid="{00000000-0005-0000-0000-0000CD460000}"/>
    <cellStyle name="SAPBEXresItem 20 4" xfId="17872" xr:uid="{00000000-0005-0000-0000-0000CE460000}"/>
    <cellStyle name="SAPBEXresItem 20 5" xfId="17873" xr:uid="{00000000-0005-0000-0000-0000CF460000}"/>
    <cellStyle name="SAPBEXresItem 20 6" xfId="17874" xr:uid="{00000000-0005-0000-0000-0000D0460000}"/>
    <cellStyle name="SAPBEXresItem 21" xfId="17875" xr:uid="{00000000-0005-0000-0000-0000D1460000}"/>
    <cellStyle name="SAPBEXresItem 21 2" xfId="17876" xr:uid="{00000000-0005-0000-0000-0000D2460000}"/>
    <cellStyle name="SAPBEXresItem 21 3" xfId="17877" xr:uid="{00000000-0005-0000-0000-0000D3460000}"/>
    <cellStyle name="SAPBEXresItem 21 4" xfId="17878" xr:uid="{00000000-0005-0000-0000-0000D4460000}"/>
    <cellStyle name="SAPBEXresItem 21 5" xfId="17879" xr:uid="{00000000-0005-0000-0000-0000D5460000}"/>
    <cellStyle name="SAPBEXresItem 21 6" xfId="17880" xr:uid="{00000000-0005-0000-0000-0000D6460000}"/>
    <cellStyle name="SAPBEXresItem 22" xfId="17881" xr:uid="{00000000-0005-0000-0000-0000D7460000}"/>
    <cellStyle name="SAPBEXresItem 22 2" xfId="17882" xr:uid="{00000000-0005-0000-0000-0000D8460000}"/>
    <cellStyle name="SAPBEXresItem 22 3" xfId="17883" xr:uid="{00000000-0005-0000-0000-0000D9460000}"/>
    <cellStyle name="SAPBEXresItem 22 4" xfId="17884" xr:uid="{00000000-0005-0000-0000-0000DA460000}"/>
    <cellStyle name="SAPBEXresItem 22 5" xfId="17885" xr:uid="{00000000-0005-0000-0000-0000DB460000}"/>
    <cellStyle name="SAPBEXresItem 22 6" xfId="17886" xr:uid="{00000000-0005-0000-0000-0000DC460000}"/>
    <cellStyle name="SAPBEXresItem 23" xfId="17887" xr:uid="{00000000-0005-0000-0000-0000DD460000}"/>
    <cellStyle name="SAPBEXresItem 23 2" xfId="17888" xr:uid="{00000000-0005-0000-0000-0000DE460000}"/>
    <cellStyle name="SAPBEXresItem 23 3" xfId="17889" xr:uid="{00000000-0005-0000-0000-0000DF460000}"/>
    <cellStyle name="SAPBEXresItem 23 4" xfId="17890" xr:uid="{00000000-0005-0000-0000-0000E0460000}"/>
    <cellStyle name="SAPBEXresItem 23 5" xfId="17891" xr:uid="{00000000-0005-0000-0000-0000E1460000}"/>
    <cellStyle name="SAPBEXresItem 23 6" xfId="17892" xr:uid="{00000000-0005-0000-0000-0000E2460000}"/>
    <cellStyle name="SAPBEXresItem 24" xfId="17893" xr:uid="{00000000-0005-0000-0000-0000E3460000}"/>
    <cellStyle name="SAPBEXresItem 24 2" xfId="17894" xr:uid="{00000000-0005-0000-0000-0000E4460000}"/>
    <cellStyle name="SAPBEXresItem 24 3" xfId="17895" xr:uid="{00000000-0005-0000-0000-0000E5460000}"/>
    <cellStyle name="SAPBEXresItem 24 4" xfId="17896" xr:uid="{00000000-0005-0000-0000-0000E6460000}"/>
    <cellStyle name="SAPBEXresItem 24 5" xfId="17897" xr:uid="{00000000-0005-0000-0000-0000E7460000}"/>
    <cellStyle name="SAPBEXresItem 24 6" xfId="17898" xr:uid="{00000000-0005-0000-0000-0000E8460000}"/>
    <cellStyle name="SAPBEXresItem 25" xfId="17899" xr:uid="{00000000-0005-0000-0000-0000E9460000}"/>
    <cellStyle name="SAPBEXresItem 25 2" xfId="17900" xr:uid="{00000000-0005-0000-0000-0000EA460000}"/>
    <cellStyle name="SAPBEXresItem 25 3" xfId="17901" xr:uid="{00000000-0005-0000-0000-0000EB460000}"/>
    <cellStyle name="SAPBEXresItem 25 4" xfId="17902" xr:uid="{00000000-0005-0000-0000-0000EC460000}"/>
    <cellStyle name="SAPBEXresItem 25 5" xfId="17903" xr:uid="{00000000-0005-0000-0000-0000ED460000}"/>
    <cellStyle name="SAPBEXresItem 25 6" xfId="17904" xr:uid="{00000000-0005-0000-0000-0000EE460000}"/>
    <cellStyle name="SAPBEXresItem 26" xfId="17905" xr:uid="{00000000-0005-0000-0000-0000EF460000}"/>
    <cellStyle name="SAPBEXresItem 26 2" xfId="17906" xr:uid="{00000000-0005-0000-0000-0000F0460000}"/>
    <cellStyle name="SAPBEXresItem 26 3" xfId="17907" xr:uid="{00000000-0005-0000-0000-0000F1460000}"/>
    <cellStyle name="SAPBEXresItem 26 4" xfId="17908" xr:uid="{00000000-0005-0000-0000-0000F2460000}"/>
    <cellStyle name="SAPBEXresItem 26 5" xfId="17909" xr:uid="{00000000-0005-0000-0000-0000F3460000}"/>
    <cellStyle name="SAPBEXresItem 26 6" xfId="17910" xr:uid="{00000000-0005-0000-0000-0000F4460000}"/>
    <cellStyle name="SAPBEXresItem 27" xfId="17911" xr:uid="{00000000-0005-0000-0000-0000F5460000}"/>
    <cellStyle name="SAPBEXresItem 27 2" xfId="17912" xr:uid="{00000000-0005-0000-0000-0000F6460000}"/>
    <cellStyle name="SAPBEXresItem 27 3" xfId="17913" xr:uid="{00000000-0005-0000-0000-0000F7460000}"/>
    <cellStyle name="SAPBEXresItem 27 4" xfId="17914" xr:uid="{00000000-0005-0000-0000-0000F8460000}"/>
    <cellStyle name="SAPBEXresItem 27 5" xfId="17915" xr:uid="{00000000-0005-0000-0000-0000F9460000}"/>
    <cellStyle name="SAPBEXresItem 27 6" xfId="17916" xr:uid="{00000000-0005-0000-0000-0000FA460000}"/>
    <cellStyle name="SAPBEXresItem 28" xfId="17917" xr:uid="{00000000-0005-0000-0000-0000FB460000}"/>
    <cellStyle name="SAPBEXresItem 28 2" xfId="17918" xr:uid="{00000000-0005-0000-0000-0000FC460000}"/>
    <cellStyle name="SAPBEXresItem 28 3" xfId="17919" xr:uid="{00000000-0005-0000-0000-0000FD460000}"/>
    <cellStyle name="SAPBEXresItem 28 4" xfId="17920" xr:uid="{00000000-0005-0000-0000-0000FE460000}"/>
    <cellStyle name="SAPBEXresItem 28 5" xfId="17921" xr:uid="{00000000-0005-0000-0000-0000FF460000}"/>
    <cellStyle name="SAPBEXresItem 28 6" xfId="17922" xr:uid="{00000000-0005-0000-0000-000000470000}"/>
    <cellStyle name="SAPBEXresItem 29" xfId="17923" xr:uid="{00000000-0005-0000-0000-000001470000}"/>
    <cellStyle name="SAPBEXresItem 29 2" xfId="17924" xr:uid="{00000000-0005-0000-0000-000002470000}"/>
    <cellStyle name="SAPBEXresItem 29 3" xfId="17925" xr:uid="{00000000-0005-0000-0000-000003470000}"/>
    <cellStyle name="SAPBEXresItem 29 4" xfId="17926" xr:uid="{00000000-0005-0000-0000-000004470000}"/>
    <cellStyle name="SAPBEXresItem 29 5" xfId="17927" xr:uid="{00000000-0005-0000-0000-000005470000}"/>
    <cellStyle name="SAPBEXresItem 29 6" xfId="17928" xr:uid="{00000000-0005-0000-0000-000006470000}"/>
    <cellStyle name="SAPBEXresItem 3" xfId="17929" xr:uid="{00000000-0005-0000-0000-000007470000}"/>
    <cellStyle name="SAPBEXresItem 3 10" xfId="17930" xr:uid="{00000000-0005-0000-0000-000008470000}"/>
    <cellStyle name="SAPBEXresItem 3 11" xfId="17931" xr:uid="{00000000-0005-0000-0000-000009470000}"/>
    <cellStyle name="SAPBEXresItem 3 12" xfId="17932" xr:uid="{00000000-0005-0000-0000-00000A470000}"/>
    <cellStyle name="SAPBEXresItem 3 2" xfId="17933" xr:uid="{00000000-0005-0000-0000-00000B470000}"/>
    <cellStyle name="SAPBEXresItem 3 2 2" xfId="17934" xr:uid="{00000000-0005-0000-0000-00000C470000}"/>
    <cellStyle name="SAPBEXresItem 3 2 2 2" xfId="17935" xr:uid="{00000000-0005-0000-0000-00000D470000}"/>
    <cellStyle name="SAPBEXresItem 3 2 2 3" xfId="17936" xr:uid="{00000000-0005-0000-0000-00000E470000}"/>
    <cellStyle name="SAPBEXresItem 3 2 2 4" xfId="17937" xr:uid="{00000000-0005-0000-0000-00000F470000}"/>
    <cellStyle name="SAPBEXresItem 3 2 2 5" xfId="17938" xr:uid="{00000000-0005-0000-0000-000010470000}"/>
    <cellStyle name="SAPBEXresItem 3 2 2 6" xfId="17939" xr:uid="{00000000-0005-0000-0000-000011470000}"/>
    <cellStyle name="SAPBEXresItem 3 2 3" xfId="17940" xr:uid="{00000000-0005-0000-0000-000012470000}"/>
    <cellStyle name="SAPBEXresItem 3 2 3 2" xfId="17941" xr:uid="{00000000-0005-0000-0000-000013470000}"/>
    <cellStyle name="SAPBEXresItem 3 2 3 3" xfId="17942" xr:uid="{00000000-0005-0000-0000-000014470000}"/>
    <cellStyle name="SAPBEXresItem 3 2 3 4" xfId="17943" xr:uid="{00000000-0005-0000-0000-000015470000}"/>
    <cellStyle name="SAPBEXresItem 3 2 3 5" xfId="17944" xr:uid="{00000000-0005-0000-0000-000016470000}"/>
    <cellStyle name="SAPBEXresItem 3 2 3 6" xfId="17945" xr:uid="{00000000-0005-0000-0000-000017470000}"/>
    <cellStyle name="SAPBEXresItem 3 2 4" xfId="17946" xr:uid="{00000000-0005-0000-0000-000018470000}"/>
    <cellStyle name="SAPBEXresItem 3 2 4 2" xfId="17947" xr:uid="{00000000-0005-0000-0000-000019470000}"/>
    <cellStyle name="SAPBEXresItem 3 2 4 3" xfId="17948" xr:uid="{00000000-0005-0000-0000-00001A470000}"/>
    <cellStyle name="SAPBEXresItem 3 2 4 4" xfId="17949" xr:uid="{00000000-0005-0000-0000-00001B470000}"/>
    <cellStyle name="SAPBEXresItem 3 2 4 5" xfId="17950" xr:uid="{00000000-0005-0000-0000-00001C470000}"/>
    <cellStyle name="SAPBEXresItem 3 2 4 6" xfId="17951" xr:uid="{00000000-0005-0000-0000-00001D470000}"/>
    <cellStyle name="SAPBEXresItem 3 2 5" xfId="17952" xr:uid="{00000000-0005-0000-0000-00001E470000}"/>
    <cellStyle name="SAPBEXresItem 3 2 5 2" xfId="17953" xr:uid="{00000000-0005-0000-0000-00001F470000}"/>
    <cellStyle name="SAPBEXresItem 3 2 5 3" xfId="17954" xr:uid="{00000000-0005-0000-0000-000020470000}"/>
    <cellStyle name="SAPBEXresItem 3 2 5 4" xfId="17955" xr:uid="{00000000-0005-0000-0000-000021470000}"/>
    <cellStyle name="SAPBEXresItem 3 2 5 5" xfId="17956" xr:uid="{00000000-0005-0000-0000-000022470000}"/>
    <cellStyle name="SAPBEXresItem 3 2 5 6" xfId="17957" xr:uid="{00000000-0005-0000-0000-000023470000}"/>
    <cellStyle name="SAPBEXresItem 3 2 6" xfId="17958" xr:uid="{00000000-0005-0000-0000-000024470000}"/>
    <cellStyle name="SAPBEXresItem 3 2 7" xfId="17959" xr:uid="{00000000-0005-0000-0000-000025470000}"/>
    <cellStyle name="SAPBEXresItem 3 2 8" xfId="17960" xr:uid="{00000000-0005-0000-0000-000026470000}"/>
    <cellStyle name="SAPBEXresItem 3 3" xfId="17961" xr:uid="{00000000-0005-0000-0000-000027470000}"/>
    <cellStyle name="SAPBEXresItem 3 3 2" xfId="17962" xr:uid="{00000000-0005-0000-0000-000028470000}"/>
    <cellStyle name="SAPBEXresItem 3 3 3" xfId="17963" xr:uid="{00000000-0005-0000-0000-000029470000}"/>
    <cellStyle name="SAPBEXresItem 3 3 4" xfId="17964" xr:uid="{00000000-0005-0000-0000-00002A470000}"/>
    <cellStyle name="SAPBEXresItem 3 3 5" xfId="17965" xr:uid="{00000000-0005-0000-0000-00002B470000}"/>
    <cellStyle name="SAPBEXresItem 3 3 6" xfId="17966" xr:uid="{00000000-0005-0000-0000-00002C470000}"/>
    <cellStyle name="SAPBEXresItem 3 4" xfId="17967" xr:uid="{00000000-0005-0000-0000-00002D470000}"/>
    <cellStyle name="SAPBEXresItem 3 4 2" xfId="17968" xr:uid="{00000000-0005-0000-0000-00002E470000}"/>
    <cellStyle name="SAPBEXresItem 3 4 3" xfId="17969" xr:uid="{00000000-0005-0000-0000-00002F470000}"/>
    <cellStyle name="SAPBEXresItem 3 4 4" xfId="17970" xr:uid="{00000000-0005-0000-0000-000030470000}"/>
    <cellStyle name="SAPBEXresItem 3 4 5" xfId="17971" xr:uid="{00000000-0005-0000-0000-000031470000}"/>
    <cellStyle name="SAPBEXresItem 3 4 6" xfId="17972" xr:uid="{00000000-0005-0000-0000-000032470000}"/>
    <cellStyle name="SAPBEXresItem 3 5" xfId="17973" xr:uid="{00000000-0005-0000-0000-000033470000}"/>
    <cellStyle name="SAPBEXresItem 3 5 2" xfId="17974" xr:uid="{00000000-0005-0000-0000-000034470000}"/>
    <cellStyle name="SAPBEXresItem 3 5 3" xfId="17975" xr:uid="{00000000-0005-0000-0000-000035470000}"/>
    <cellStyle name="SAPBEXresItem 3 5 4" xfId="17976" xr:uid="{00000000-0005-0000-0000-000036470000}"/>
    <cellStyle name="SAPBEXresItem 3 6" xfId="17977" xr:uid="{00000000-0005-0000-0000-000037470000}"/>
    <cellStyle name="SAPBEXresItem 3 6 2" xfId="17978" xr:uid="{00000000-0005-0000-0000-000038470000}"/>
    <cellStyle name="SAPBEXresItem 3 6 3" xfId="17979" xr:uid="{00000000-0005-0000-0000-000039470000}"/>
    <cellStyle name="SAPBEXresItem 3 6 4" xfId="17980" xr:uid="{00000000-0005-0000-0000-00003A470000}"/>
    <cellStyle name="SAPBEXresItem 3 7" xfId="17981" xr:uid="{00000000-0005-0000-0000-00003B470000}"/>
    <cellStyle name="SAPBEXresItem 3 7 2" xfId="17982" xr:uid="{00000000-0005-0000-0000-00003C470000}"/>
    <cellStyle name="SAPBEXresItem 3 7 3" xfId="17983" xr:uid="{00000000-0005-0000-0000-00003D470000}"/>
    <cellStyle name="SAPBEXresItem 3 7 4" xfId="17984" xr:uid="{00000000-0005-0000-0000-00003E470000}"/>
    <cellStyle name="SAPBEXresItem 3 8" xfId="17985" xr:uid="{00000000-0005-0000-0000-00003F470000}"/>
    <cellStyle name="SAPBEXresItem 3 9" xfId="17986" xr:uid="{00000000-0005-0000-0000-000040470000}"/>
    <cellStyle name="SAPBEXresItem 30" xfId="17987" xr:uid="{00000000-0005-0000-0000-000041470000}"/>
    <cellStyle name="SAPBEXresItem 30 2" xfId="17988" xr:uid="{00000000-0005-0000-0000-000042470000}"/>
    <cellStyle name="SAPBEXresItem 30 3" xfId="17989" xr:uid="{00000000-0005-0000-0000-000043470000}"/>
    <cellStyle name="SAPBEXresItem 30 4" xfId="17990" xr:uid="{00000000-0005-0000-0000-000044470000}"/>
    <cellStyle name="SAPBEXresItem 30 5" xfId="17991" xr:uid="{00000000-0005-0000-0000-000045470000}"/>
    <cellStyle name="SAPBEXresItem 30 6" xfId="17992" xr:uid="{00000000-0005-0000-0000-000046470000}"/>
    <cellStyle name="SAPBEXresItem 31" xfId="17993" xr:uid="{00000000-0005-0000-0000-000047470000}"/>
    <cellStyle name="SAPBEXresItem 31 2" xfId="17994" xr:uid="{00000000-0005-0000-0000-000048470000}"/>
    <cellStyle name="SAPBEXresItem 31 3" xfId="17995" xr:uid="{00000000-0005-0000-0000-000049470000}"/>
    <cellStyle name="SAPBEXresItem 31 4" xfId="17996" xr:uid="{00000000-0005-0000-0000-00004A470000}"/>
    <cellStyle name="SAPBEXresItem 31 5" xfId="17997" xr:uid="{00000000-0005-0000-0000-00004B470000}"/>
    <cellStyle name="SAPBEXresItem 31 6" xfId="17998" xr:uid="{00000000-0005-0000-0000-00004C470000}"/>
    <cellStyle name="SAPBEXresItem 32" xfId="17999" xr:uid="{00000000-0005-0000-0000-00004D470000}"/>
    <cellStyle name="SAPBEXresItem 32 2" xfId="18000" xr:uid="{00000000-0005-0000-0000-00004E470000}"/>
    <cellStyle name="SAPBEXresItem 32 3" xfId="18001" xr:uid="{00000000-0005-0000-0000-00004F470000}"/>
    <cellStyle name="SAPBEXresItem 32 4" xfId="18002" xr:uid="{00000000-0005-0000-0000-000050470000}"/>
    <cellStyle name="SAPBEXresItem 32 5" xfId="18003" xr:uid="{00000000-0005-0000-0000-000051470000}"/>
    <cellStyle name="SAPBEXresItem 32 6" xfId="18004" xr:uid="{00000000-0005-0000-0000-000052470000}"/>
    <cellStyle name="SAPBEXresItem 33" xfId="18005" xr:uid="{00000000-0005-0000-0000-000053470000}"/>
    <cellStyle name="SAPBEXresItem 34" xfId="18006" xr:uid="{00000000-0005-0000-0000-000054470000}"/>
    <cellStyle name="SAPBEXresItem 35" xfId="18007" xr:uid="{00000000-0005-0000-0000-000055470000}"/>
    <cellStyle name="SAPBEXresItem 36" xfId="27804" xr:uid="{00000000-0005-0000-0000-000056470000}"/>
    <cellStyle name="SAPBEXresItem 37" xfId="27933" xr:uid="{00000000-0005-0000-0000-000057470000}"/>
    <cellStyle name="SAPBEXresItem 38" xfId="28032" xr:uid="{00000000-0005-0000-0000-000058470000}"/>
    <cellStyle name="SAPBEXresItem 39" xfId="28165" xr:uid="{00000000-0005-0000-0000-000059470000}"/>
    <cellStyle name="SAPBEXresItem 4" xfId="18008" xr:uid="{00000000-0005-0000-0000-00005A470000}"/>
    <cellStyle name="SAPBEXresItem 4 2" xfId="18009" xr:uid="{00000000-0005-0000-0000-00005B470000}"/>
    <cellStyle name="SAPBEXresItem 4 3" xfId="18010" xr:uid="{00000000-0005-0000-0000-00005C470000}"/>
    <cellStyle name="SAPBEXresItem 4 4" xfId="18011" xr:uid="{00000000-0005-0000-0000-00005D470000}"/>
    <cellStyle name="SAPBEXresItem 4 5" xfId="18012" xr:uid="{00000000-0005-0000-0000-00005E470000}"/>
    <cellStyle name="SAPBEXresItem 4 6" xfId="18013" xr:uid="{00000000-0005-0000-0000-00005F470000}"/>
    <cellStyle name="SAPBEXresItem 5" xfId="18014" xr:uid="{00000000-0005-0000-0000-000060470000}"/>
    <cellStyle name="SAPBEXresItem 5 2" xfId="18015" xr:uid="{00000000-0005-0000-0000-000061470000}"/>
    <cellStyle name="SAPBEXresItem 5 3" xfId="18016" xr:uid="{00000000-0005-0000-0000-000062470000}"/>
    <cellStyle name="SAPBEXresItem 5 4" xfId="18017" xr:uid="{00000000-0005-0000-0000-000063470000}"/>
    <cellStyle name="SAPBEXresItem 5 5" xfId="18018" xr:uid="{00000000-0005-0000-0000-000064470000}"/>
    <cellStyle name="SAPBEXresItem 5 6" xfId="18019" xr:uid="{00000000-0005-0000-0000-000065470000}"/>
    <cellStyle name="SAPBEXresItem 6" xfId="18020" xr:uid="{00000000-0005-0000-0000-000066470000}"/>
    <cellStyle name="SAPBEXresItem 6 10" xfId="18021" xr:uid="{00000000-0005-0000-0000-000067470000}"/>
    <cellStyle name="SAPBEXresItem 6 2" xfId="18022" xr:uid="{00000000-0005-0000-0000-000068470000}"/>
    <cellStyle name="SAPBEXresItem 6 2 2" xfId="18023" xr:uid="{00000000-0005-0000-0000-000069470000}"/>
    <cellStyle name="SAPBEXresItem 6 2 3" xfId="18024" xr:uid="{00000000-0005-0000-0000-00006A470000}"/>
    <cellStyle name="SAPBEXresItem 6 2 4" xfId="18025" xr:uid="{00000000-0005-0000-0000-00006B470000}"/>
    <cellStyle name="SAPBEXresItem 6 3" xfId="18026" xr:uid="{00000000-0005-0000-0000-00006C470000}"/>
    <cellStyle name="SAPBEXresItem 6 3 2" xfId="18027" xr:uid="{00000000-0005-0000-0000-00006D470000}"/>
    <cellStyle name="SAPBEXresItem 6 3 3" xfId="18028" xr:uid="{00000000-0005-0000-0000-00006E470000}"/>
    <cellStyle name="SAPBEXresItem 6 3 4" xfId="18029" xr:uid="{00000000-0005-0000-0000-00006F470000}"/>
    <cellStyle name="SAPBEXresItem 6 4" xfId="18030" xr:uid="{00000000-0005-0000-0000-000070470000}"/>
    <cellStyle name="SAPBEXresItem 6 4 2" xfId="18031" xr:uid="{00000000-0005-0000-0000-000071470000}"/>
    <cellStyle name="SAPBEXresItem 6 4 3" xfId="18032" xr:uid="{00000000-0005-0000-0000-000072470000}"/>
    <cellStyle name="SAPBEXresItem 6 4 4" xfId="18033" xr:uid="{00000000-0005-0000-0000-000073470000}"/>
    <cellStyle name="SAPBEXresItem 6 5" xfId="18034" xr:uid="{00000000-0005-0000-0000-000074470000}"/>
    <cellStyle name="SAPBEXresItem 6 5 2" xfId="18035" xr:uid="{00000000-0005-0000-0000-000075470000}"/>
    <cellStyle name="SAPBEXresItem 6 5 3" xfId="18036" xr:uid="{00000000-0005-0000-0000-000076470000}"/>
    <cellStyle name="SAPBEXresItem 6 5 4" xfId="18037" xr:uid="{00000000-0005-0000-0000-000077470000}"/>
    <cellStyle name="SAPBEXresItem 6 6" xfId="18038" xr:uid="{00000000-0005-0000-0000-000078470000}"/>
    <cellStyle name="SAPBEXresItem 6 7" xfId="18039" xr:uid="{00000000-0005-0000-0000-000079470000}"/>
    <cellStyle name="SAPBEXresItem 6 8" xfId="18040" xr:uid="{00000000-0005-0000-0000-00007A470000}"/>
    <cellStyle name="SAPBEXresItem 6 9" xfId="18041" xr:uid="{00000000-0005-0000-0000-00007B470000}"/>
    <cellStyle name="SAPBEXresItem 7" xfId="18042" xr:uid="{00000000-0005-0000-0000-00007C470000}"/>
    <cellStyle name="SAPBEXresItem 7 10" xfId="18043" xr:uid="{00000000-0005-0000-0000-00007D470000}"/>
    <cellStyle name="SAPBEXresItem 7 2" xfId="18044" xr:uid="{00000000-0005-0000-0000-00007E470000}"/>
    <cellStyle name="SAPBEXresItem 7 2 2" xfId="18045" xr:uid="{00000000-0005-0000-0000-00007F470000}"/>
    <cellStyle name="SAPBEXresItem 7 2 3" xfId="18046" xr:uid="{00000000-0005-0000-0000-000080470000}"/>
    <cellStyle name="SAPBEXresItem 7 2 4" xfId="18047" xr:uid="{00000000-0005-0000-0000-000081470000}"/>
    <cellStyle name="SAPBEXresItem 7 3" xfId="18048" xr:uid="{00000000-0005-0000-0000-000082470000}"/>
    <cellStyle name="SAPBEXresItem 7 3 2" xfId="18049" xr:uid="{00000000-0005-0000-0000-000083470000}"/>
    <cellStyle name="SAPBEXresItem 7 3 3" xfId="18050" xr:uid="{00000000-0005-0000-0000-000084470000}"/>
    <cellStyle name="SAPBEXresItem 7 3 4" xfId="18051" xr:uid="{00000000-0005-0000-0000-000085470000}"/>
    <cellStyle name="SAPBEXresItem 7 4" xfId="18052" xr:uid="{00000000-0005-0000-0000-000086470000}"/>
    <cellStyle name="SAPBEXresItem 7 4 2" xfId="18053" xr:uid="{00000000-0005-0000-0000-000087470000}"/>
    <cellStyle name="SAPBEXresItem 7 4 3" xfId="18054" xr:uid="{00000000-0005-0000-0000-000088470000}"/>
    <cellStyle name="SAPBEXresItem 7 4 4" xfId="18055" xr:uid="{00000000-0005-0000-0000-000089470000}"/>
    <cellStyle name="SAPBEXresItem 7 5" xfId="18056" xr:uid="{00000000-0005-0000-0000-00008A470000}"/>
    <cellStyle name="SAPBEXresItem 7 5 2" xfId="18057" xr:uid="{00000000-0005-0000-0000-00008B470000}"/>
    <cellStyle name="SAPBEXresItem 7 5 3" xfId="18058" xr:uid="{00000000-0005-0000-0000-00008C470000}"/>
    <cellStyle name="SAPBEXresItem 7 5 4" xfId="18059" xr:uid="{00000000-0005-0000-0000-00008D470000}"/>
    <cellStyle name="SAPBEXresItem 7 6" xfId="18060" xr:uid="{00000000-0005-0000-0000-00008E470000}"/>
    <cellStyle name="SAPBEXresItem 7 7" xfId="18061" xr:uid="{00000000-0005-0000-0000-00008F470000}"/>
    <cellStyle name="SAPBEXresItem 7 8" xfId="18062" xr:uid="{00000000-0005-0000-0000-000090470000}"/>
    <cellStyle name="SAPBEXresItem 7 9" xfId="18063" xr:uid="{00000000-0005-0000-0000-000091470000}"/>
    <cellStyle name="SAPBEXresItem 8" xfId="18064" xr:uid="{00000000-0005-0000-0000-000092470000}"/>
    <cellStyle name="SAPBEXresItem 8 2" xfId="18065" xr:uid="{00000000-0005-0000-0000-000093470000}"/>
    <cellStyle name="SAPBEXresItem 8 3" xfId="18066" xr:uid="{00000000-0005-0000-0000-000094470000}"/>
    <cellStyle name="SAPBEXresItem 8 4" xfId="18067" xr:uid="{00000000-0005-0000-0000-000095470000}"/>
    <cellStyle name="SAPBEXresItem 8 5" xfId="18068" xr:uid="{00000000-0005-0000-0000-000096470000}"/>
    <cellStyle name="SAPBEXresItem 8 6" xfId="18069" xr:uid="{00000000-0005-0000-0000-000097470000}"/>
    <cellStyle name="SAPBEXresItem 9" xfId="18070" xr:uid="{00000000-0005-0000-0000-000098470000}"/>
    <cellStyle name="SAPBEXresItem 9 2" xfId="18071" xr:uid="{00000000-0005-0000-0000-000099470000}"/>
    <cellStyle name="SAPBEXresItem 9 3" xfId="18072" xr:uid="{00000000-0005-0000-0000-00009A470000}"/>
    <cellStyle name="SAPBEXresItem 9 4" xfId="18073" xr:uid="{00000000-0005-0000-0000-00009B470000}"/>
    <cellStyle name="SAPBEXresItem 9 5" xfId="18074" xr:uid="{00000000-0005-0000-0000-00009C470000}"/>
    <cellStyle name="SAPBEXresItem 9 6" xfId="18075" xr:uid="{00000000-0005-0000-0000-00009D470000}"/>
    <cellStyle name="SAPBEXresItem_Receipts" xfId="18076" xr:uid="{00000000-0005-0000-0000-00009E470000}"/>
    <cellStyle name="SAPBEXresItemX" xfId="18077" xr:uid="{00000000-0005-0000-0000-00009F470000}"/>
    <cellStyle name="SAPBEXresItemX 10" xfId="18078" xr:uid="{00000000-0005-0000-0000-0000A0470000}"/>
    <cellStyle name="SAPBEXresItemX 10 2" xfId="18079" xr:uid="{00000000-0005-0000-0000-0000A1470000}"/>
    <cellStyle name="SAPBEXresItemX 10 3" xfId="18080" xr:uid="{00000000-0005-0000-0000-0000A2470000}"/>
    <cellStyle name="SAPBEXresItemX 10 4" xfId="18081" xr:uid="{00000000-0005-0000-0000-0000A3470000}"/>
    <cellStyle name="SAPBEXresItemX 10 5" xfId="18082" xr:uid="{00000000-0005-0000-0000-0000A4470000}"/>
    <cellStyle name="SAPBEXresItemX 10 6" xfId="18083" xr:uid="{00000000-0005-0000-0000-0000A5470000}"/>
    <cellStyle name="SAPBEXresItemX 11" xfId="18084" xr:uid="{00000000-0005-0000-0000-0000A6470000}"/>
    <cellStyle name="SAPBEXresItemX 11 2" xfId="18085" xr:uid="{00000000-0005-0000-0000-0000A7470000}"/>
    <cellStyle name="SAPBEXresItemX 11 3" xfId="18086" xr:uid="{00000000-0005-0000-0000-0000A8470000}"/>
    <cellStyle name="SAPBEXresItemX 11 4" xfId="18087" xr:uid="{00000000-0005-0000-0000-0000A9470000}"/>
    <cellStyle name="SAPBEXresItemX 11 5" xfId="18088" xr:uid="{00000000-0005-0000-0000-0000AA470000}"/>
    <cellStyle name="SAPBEXresItemX 11 6" xfId="18089" xr:uid="{00000000-0005-0000-0000-0000AB470000}"/>
    <cellStyle name="SAPBEXresItemX 12" xfId="18090" xr:uid="{00000000-0005-0000-0000-0000AC470000}"/>
    <cellStyle name="SAPBEXresItemX 12 2" xfId="18091" xr:uid="{00000000-0005-0000-0000-0000AD470000}"/>
    <cellStyle name="SAPBEXresItemX 12 3" xfId="18092" xr:uid="{00000000-0005-0000-0000-0000AE470000}"/>
    <cellStyle name="SAPBEXresItemX 12 4" xfId="18093" xr:uid="{00000000-0005-0000-0000-0000AF470000}"/>
    <cellStyle name="SAPBEXresItemX 12 5" xfId="18094" xr:uid="{00000000-0005-0000-0000-0000B0470000}"/>
    <cellStyle name="SAPBEXresItemX 12 6" xfId="18095" xr:uid="{00000000-0005-0000-0000-0000B1470000}"/>
    <cellStyle name="SAPBEXresItemX 13" xfId="18096" xr:uid="{00000000-0005-0000-0000-0000B2470000}"/>
    <cellStyle name="SAPBEXresItemX 13 2" xfId="18097" xr:uid="{00000000-0005-0000-0000-0000B3470000}"/>
    <cellStyle name="SAPBEXresItemX 13 3" xfId="18098" xr:uid="{00000000-0005-0000-0000-0000B4470000}"/>
    <cellStyle name="SAPBEXresItemX 13 4" xfId="18099" xr:uid="{00000000-0005-0000-0000-0000B5470000}"/>
    <cellStyle name="SAPBEXresItemX 13 5" xfId="18100" xr:uid="{00000000-0005-0000-0000-0000B6470000}"/>
    <cellStyle name="SAPBEXresItemX 13 6" xfId="18101" xr:uid="{00000000-0005-0000-0000-0000B7470000}"/>
    <cellStyle name="SAPBEXresItemX 14" xfId="18102" xr:uid="{00000000-0005-0000-0000-0000B8470000}"/>
    <cellStyle name="SAPBEXresItemX 14 2" xfId="18103" xr:uid="{00000000-0005-0000-0000-0000B9470000}"/>
    <cellStyle name="SAPBEXresItemX 14 3" xfId="18104" xr:uid="{00000000-0005-0000-0000-0000BA470000}"/>
    <cellStyle name="SAPBEXresItemX 14 4" xfId="18105" xr:uid="{00000000-0005-0000-0000-0000BB470000}"/>
    <cellStyle name="SAPBEXresItemX 14 5" xfId="18106" xr:uid="{00000000-0005-0000-0000-0000BC470000}"/>
    <cellStyle name="SAPBEXresItemX 14 6" xfId="18107" xr:uid="{00000000-0005-0000-0000-0000BD470000}"/>
    <cellStyle name="SAPBEXresItemX 15" xfId="18108" xr:uid="{00000000-0005-0000-0000-0000BE470000}"/>
    <cellStyle name="SAPBEXresItemX 15 2" xfId="18109" xr:uid="{00000000-0005-0000-0000-0000BF470000}"/>
    <cellStyle name="SAPBEXresItemX 15 3" xfId="18110" xr:uid="{00000000-0005-0000-0000-0000C0470000}"/>
    <cellStyle name="SAPBEXresItemX 15 4" xfId="18111" xr:uid="{00000000-0005-0000-0000-0000C1470000}"/>
    <cellStyle name="SAPBEXresItemX 15 5" xfId="18112" xr:uid="{00000000-0005-0000-0000-0000C2470000}"/>
    <cellStyle name="SAPBEXresItemX 15 6" xfId="18113" xr:uid="{00000000-0005-0000-0000-0000C3470000}"/>
    <cellStyle name="SAPBEXresItemX 16" xfId="18114" xr:uid="{00000000-0005-0000-0000-0000C4470000}"/>
    <cellStyle name="SAPBEXresItemX 16 2" xfId="18115" xr:uid="{00000000-0005-0000-0000-0000C5470000}"/>
    <cellStyle name="SAPBEXresItemX 16 3" xfId="18116" xr:uid="{00000000-0005-0000-0000-0000C6470000}"/>
    <cellStyle name="SAPBEXresItemX 16 4" xfId="18117" xr:uid="{00000000-0005-0000-0000-0000C7470000}"/>
    <cellStyle name="SAPBEXresItemX 16 5" xfId="18118" xr:uid="{00000000-0005-0000-0000-0000C8470000}"/>
    <cellStyle name="SAPBEXresItemX 16 6" xfId="18119" xr:uid="{00000000-0005-0000-0000-0000C9470000}"/>
    <cellStyle name="SAPBEXresItemX 17" xfId="18120" xr:uid="{00000000-0005-0000-0000-0000CA470000}"/>
    <cellStyle name="SAPBEXresItemX 17 2" xfId="18121" xr:uid="{00000000-0005-0000-0000-0000CB470000}"/>
    <cellStyle name="SAPBEXresItemX 17 3" xfId="18122" xr:uid="{00000000-0005-0000-0000-0000CC470000}"/>
    <cellStyle name="SAPBEXresItemX 17 4" xfId="18123" xr:uid="{00000000-0005-0000-0000-0000CD470000}"/>
    <cellStyle name="SAPBEXresItemX 17 5" xfId="18124" xr:uid="{00000000-0005-0000-0000-0000CE470000}"/>
    <cellStyle name="SAPBEXresItemX 17 6" xfId="18125" xr:uid="{00000000-0005-0000-0000-0000CF470000}"/>
    <cellStyle name="SAPBEXresItemX 18" xfId="18126" xr:uid="{00000000-0005-0000-0000-0000D0470000}"/>
    <cellStyle name="SAPBEXresItemX 18 2" xfId="18127" xr:uid="{00000000-0005-0000-0000-0000D1470000}"/>
    <cellStyle name="SAPBEXresItemX 18 3" xfId="18128" xr:uid="{00000000-0005-0000-0000-0000D2470000}"/>
    <cellStyle name="SAPBEXresItemX 18 4" xfId="18129" xr:uid="{00000000-0005-0000-0000-0000D3470000}"/>
    <cellStyle name="SAPBEXresItemX 18 5" xfId="18130" xr:uid="{00000000-0005-0000-0000-0000D4470000}"/>
    <cellStyle name="SAPBEXresItemX 18 6" xfId="18131" xr:uid="{00000000-0005-0000-0000-0000D5470000}"/>
    <cellStyle name="SAPBEXresItemX 19" xfId="18132" xr:uid="{00000000-0005-0000-0000-0000D6470000}"/>
    <cellStyle name="SAPBEXresItemX 19 2" xfId="18133" xr:uid="{00000000-0005-0000-0000-0000D7470000}"/>
    <cellStyle name="SAPBEXresItemX 19 3" xfId="18134" xr:uid="{00000000-0005-0000-0000-0000D8470000}"/>
    <cellStyle name="SAPBEXresItemX 19 4" xfId="18135" xr:uid="{00000000-0005-0000-0000-0000D9470000}"/>
    <cellStyle name="SAPBEXresItemX 19 5" xfId="18136" xr:uid="{00000000-0005-0000-0000-0000DA470000}"/>
    <cellStyle name="SAPBEXresItemX 19 6" xfId="18137" xr:uid="{00000000-0005-0000-0000-0000DB470000}"/>
    <cellStyle name="SAPBEXresItemX 2" xfId="18138" xr:uid="{00000000-0005-0000-0000-0000DC470000}"/>
    <cellStyle name="SAPBEXresItemX 2 10" xfId="18139" xr:uid="{00000000-0005-0000-0000-0000DD470000}"/>
    <cellStyle name="SAPBEXresItemX 2 10 2" xfId="18140" xr:uid="{00000000-0005-0000-0000-0000DE470000}"/>
    <cellStyle name="SAPBEXresItemX 2 10 3" xfId="18141" xr:uid="{00000000-0005-0000-0000-0000DF470000}"/>
    <cellStyle name="SAPBEXresItemX 2 10 4" xfId="18142" xr:uid="{00000000-0005-0000-0000-0000E0470000}"/>
    <cellStyle name="SAPBEXresItemX 2 11" xfId="18143" xr:uid="{00000000-0005-0000-0000-0000E1470000}"/>
    <cellStyle name="SAPBEXresItemX 2 11 2" xfId="18144" xr:uid="{00000000-0005-0000-0000-0000E2470000}"/>
    <cellStyle name="SAPBEXresItemX 2 11 3" xfId="18145" xr:uid="{00000000-0005-0000-0000-0000E3470000}"/>
    <cellStyle name="SAPBEXresItemX 2 11 4" xfId="18146" xr:uid="{00000000-0005-0000-0000-0000E4470000}"/>
    <cellStyle name="SAPBEXresItemX 2 12" xfId="18147" xr:uid="{00000000-0005-0000-0000-0000E5470000}"/>
    <cellStyle name="SAPBEXresItemX 2 12 2" xfId="18148" xr:uid="{00000000-0005-0000-0000-0000E6470000}"/>
    <cellStyle name="SAPBEXresItemX 2 12 3" xfId="18149" xr:uid="{00000000-0005-0000-0000-0000E7470000}"/>
    <cellStyle name="SAPBEXresItemX 2 12 4" xfId="18150" xr:uid="{00000000-0005-0000-0000-0000E8470000}"/>
    <cellStyle name="SAPBEXresItemX 2 13" xfId="18151" xr:uid="{00000000-0005-0000-0000-0000E9470000}"/>
    <cellStyle name="SAPBEXresItemX 2 13 2" xfId="18152" xr:uid="{00000000-0005-0000-0000-0000EA470000}"/>
    <cellStyle name="SAPBEXresItemX 2 13 3" xfId="18153" xr:uid="{00000000-0005-0000-0000-0000EB470000}"/>
    <cellStyle name="SAPBEXresItemX 2 13 4" xfId="18154" xr:uid="{00000000-0005-0000-0000-0000EC470000}"/>
    <cellStyle name="SAPBEXresItemX 2 14" xfId="18155" xr:uid="{00000000-0005-0000-0000-0000ED470000}"/>
    <cellStyle name="SAPBEXresItemX 2 15" xfId="18156" xr:uid="{00000000-0005-0000-0000-0000EE470000}"/>
    <cellStyle name="SAPBEXresItemX 2 16" xfId="18157" xr:uid="{00000000-0005-0000-0000-0000EF470000}"/>
    <cellStyle name="SAPBEXresItemX 2 17" xfId="18158" xr:uid="{00000000-0005-0000-0000-0000F0470000}"/>
    <cellStyle name="SAPBEXresItemX 2 18" xfId="18159" xr:uid="{00000000-0005-0000-0000-0000F1470000}"/>
    <cellStyle name="SAPBEXresItemX 2 2" xfId="18160" xr:uid="{00000000-0005-0000-0000-0000F2470000}"/>
    <cellStyle name="SAPBEXresItemX 2 2 2" xfId="18161" xr:uid="{00000000-0005-0000-0000-0000F3470000}"/>
    <cellStyle name="SAPBEXresItemX 2 2 2 2" xfId="18162" xr:uid="{00000000-0005-0000-0000-0000F4470000}"/>
    <cellStyle name="SAPBEXresItemX 2 2 2 3" xfId="18163" xr:uid="{00000000-0005-0000-0000-0000F5470000}"/>
    <cellStyle name="SAPBEXresItemX 2 2 2 4" xfId="18164" xr:uid="{00000000-0005-0000-0000-0000F6470000}"/>
    <cellStyle name="SAPBEXresItemX 2 2 2 5" xfId="18165" xr:uid="{00000000-0005-0000-0000-0000F7470000}"/>
    <cellStyle name="SAPBEXresItemX 2 2 2 6" xfId="18166" xr:uid="{00000000-0005-0000-0000-0000F8470000}"/>
    <cellStyle name="SAPBEXresItemX 2 2 3" xfId="18167" xr:uid="{00000000-0005-0000-0000-0000F9470000}"/>
    <cellStyle name="SAPBEXresItemX 2 2 3 2" xfId="18168" xr:uid="{00000000-0005-0000-0000-0000FA470000}"/>
    <cellStyle name="SAPBEXresItemX 2 2 3 3" xfId="18169" xr:uid="{00000000-0005-0000-0000-0000FB470000}"/>
    <cellStyle name="SAPBEXresItemX 2 2 3 4" xfId="18170" xr:uid="{00000000-0005-0000-0000-0000FC470000}"/>
    <cellStyle name="SAPBEXresItemX 2 2 3 5" xfId="18171" xr:uid="{00000000-0005-0000-0000-0000FD470000}"/>
    <cellStyle name="SAPBEXresItemX 2 2 3 6" xfId="18172" xr:uid="{00000000-0005-0000-0000-0000FE470000}"/>
    <cellStyle name="SAPBEXresItemX 2 2 4" xfId="18173" xr:uid="{00000000-0005-0000-0000-0000FF470000}"/>
    <cellStyle name="SAPBEXresItemX 2 2 4 2" xfId="18174" xr:uid="{00000000-0005-0000-0000-000000480000}"/>
    <cellStyle name="SAPBEXresItemX 2 2 4 3" xfId="18175" xr:uid="{00000000-0005-0000-0000-000001480000}"/>
    <cellStyle name="SAPBEXresItemX 2 2 4 4" xfId="18176" xr:uid="{00000000-0005-0000-0000-000002480000}"/>
    <cellStyle name="SAPBEXresItemX 2 2 4 5" xfId="18177" xr:uid="{00000000-0005-0000-0000-000003480000}"/>
    <cellStyle name="SAPBEXresItemX 2 2 4 6" xfId="18178" xr:uid="{00000000-0005-0000-0000-000004480000}"/>
    <cellStyle name="SAPBEXresItemX 2 2 5" xfId="18179" xr:uid="{00000000-0005-0000-0000-000005480000}"/>
    <cellStyle name="SAPBEXresItemX 2 2 5 2" xfId="18180" xr:uid="{00000000-0005-0000-0000-000006480000}"/>
    <cellStyle name="SAPBEXresItemX 2 2 5 3" xfId="18181" xr:uid="{00000000-0005-0000-0000-000007480000}"/>
    <cellStyle name="SAPBEXresItemX 2 2 5 4" xfId="18182" xr:uid="{00000000-0005-0000-0000-000008480000}"/>
    <cellStyle name="SAPBEXresItemX 2 2 5 5" xfId="18183" xr:uid="{00000000-0005-0000-0000-000009480000}"/>
    <cellStyle name="SAPBEXresItemX 2 2 5 6" xfId="18184" xr:uid="{00000000-0005-0000-0000-00000A480000}"/>
    <cellStyle name="SAPBEXresItemX 2 2 6" xfId="18185" xr:uid="{00000000-0005-0000-0000-00000B480000}"/>
    <cellStyle name="SAPBEXresItemX 2 2 7" xfId="18186" xr:uid="{00000000-0005-0000-0000-00000C480000}"/>
    <cellStyle name="SAPBEXresItemX 2 2 8" xfId="18187" xr:uid="{00000000-0005-0000-0000-00000D480000}"/>
    <cellStyle name="SAPBEXresItemX 2 3" xfId="18188" xr:uid="{00000000-0005-0000-0000-00000E480000}"/>
    <cellStyle name="SAPBEXresItemX 2 3 2" xfId="18189" xr:uid="{00000000-0005-0000-0000-00000F480000}"/>
    <cellStyle name="SAPBEXresItemX 2 3 2 2" xfId="18190" xr:uid="{00000000-0005-0000-0000-000010480000}"/>
    <cellStyle name="SAPBEXresItemX 2 3 2 3" xfId="18191" xr:uid="{00000000-0005-0000-0000-000011480000}"/>
    <cellStyle name="SAPBEXresItemX 2 3 2 4" xfId="18192" xr:uid="{00000000-0005-0000-0000-000012480000}"/>
    <cellStyle name="SAPBEXresItemX 2 3 2 5" xfId="18193" xr:uid="{00000000-0005-0000-0000-000013480000}"/>
    <cellStyle name="SAPBEXresItemX 2 3 2 6" xfId="18194" xr:uid="{00000000-0005-0000-0000-000014480000}"/>
    <cellStyle name="SAPBEXresItemX 2 3 3" xfId="18195" xr:uid="{00000000-0005-0000-0000-000015480000}"/>
    <cellStyle name="SAPBEXresItemX 2 3 3 2" xfId="18196" xr:uid="{00000000-0005-0000-0000-000016480000}"/>
    <cellStyle name="SAPBEXresItemX 2 3 3 3" xfId="18197" xr:uid="{00000000-0005-0000-0000-000017480000}"/>
    <cellStyle name="SAPBEXresItemX 2 3 3 4" xfId="18198" xr:uid="{00000000-0005-0000-0000-000018480000}"/>
    <cellStyle name="SAPBEXresItemX 2 3 3 5" xfId="18199" xr:uid="{00000000-0005-0000-0000-000019480000}"/>
    <cellStyle name="SAPBEXresItemX 2 3 3 6" xfId="18200" xr:uid="{00000000-0005-0000-0000-00001A480000}"/>
    <cellStyle name="SAPBEXresItemX 2 3 4" xfId="18201" xr:uid="{00000000-0005-0000-0000-00001B480000}"/>
    <cellStyle name="SAPBEXresItemX 2 3 4 2" xfId="18202" xr:uid="{00000000-0005-0000-0000-00001C480000}"/>
    <cellStyle name="SAPBEXresItemX 2 3 4 3" xfId="18203" xr:uid="{00000000-0005-0000-0000-00001D480000}"/>
    <cellStyle name="SAPBEXresItemX 2 3 4 4" xfId="18204" xr:uid="{00000000-0005-0000-0000-00001E480000}"/>
    <cellStyle name="SAPBEXresItemX 2 3 4 5" xfId="18205" xr:uid="{00000000-0005-0000-0000-00001F480000}"/>
    <cellStyle name="SAPBEXresItemX 2 3 4 6" xfId="18206" xr:uid="{00000000-0005-0000-0000-000020480000}"/>
    <cellStyle name="SAPBEXresItemX 2 3 5" xfId="18207" xr:uid="{00000000-0005-0000-0000-000021480000}"/>
    <cellStyle name="SAPBEXresItemX 2 3 5 2" xfId="18208" xr:uid="{00000000-0005-0000-0000-000022480000}"/>
    <cellStyle name="SAPBEXresItemX 2 3 5 3" xfId="18209" xr:uid="{00000000-0005-0000-0000-000023480000}"/>
    <cellStyle name="SAPBEXresItemX 2 3 5 4" xfId="18210" xr:uid="{00000000-0005-0000-0000-000024480000}"/>
    <cellStyle name="SAPBEXresItemX 2 3 5 5" xfId="18211" xr:uid="{00000000-0005-0000-0000-000025480000}"/>
    <cellStyle name="SAPBEXresItemX 2 3 5 6" xfId="18212" xr:uid="{00000000-0005-0000-0000-000026480000}"/>
    <cellStyle name="SAPBEXresItemX 2 3 6" xfId="18213" xr:uid="{00000000-0005-0000-0000-000027480000}"/>
    <cellStyle name="SAPBEXresItemX 2 3 7" xfId="18214" xr:uid="{00000000-0005-0000-0000-000028480000}"/>
    <cellStyle name="SAPBEXresItemX 2 3 8" xfId="18215" xr:uid="{00000000-0005-0000-0000-000029480000}"/>
    <cellStyle name="SAPBEXresItemX 2 4" xfId="18216" xr:uid="{00000000-0005-0000-0000-00002A480000}"/>
    <cellStyle name="SAPBEXresItemX 2 4 2" xfId="18217" xr:uid="{00000000-0005-0000-0000-00002B480000}"/>
    <cellStyle name="SAPBEXresItemX 2 4 2 2" xfId="18218" xr:uid="{00000000-0005-0000-0000-00002C480000}"/>
    <cellStyle name="SAPBEXresItemX 2 4 2 3" xfId="18219" xr:uid="{00000000-0005-0000-0000-00002D480000}"/>
    <cellStyle name="SAPBEXresItemX 2 4 2 4" xfId="18220" xr:uid="{00000000-0005-0000-0000-00002E480000}"/>
    <cellStyle name="SAPBEXresItemX 2 4 2 5" xfId="18221" xr:uid="{00000000-0005-0000-0000-00002F480000}"/>
    <cellStyle name="SAPBEXresItemX 2 4 2 6" xfId="18222" xr:uid="{00000000-0005-0000-0000-000030480000}"/>
    <cellStyle name="SAPBEXresItemX 2 4 3" xfId="18223" xr:uid="{00000000-0005-0000-0000-000031480000}"/>
    <cellStyle name="SAPBEXresItemX 2 4 3 2" xfId="18224" xr:uid="{00000000-0005-0000-0000-000032480000}"/>
    <cellStyle name="SAPBEXresItemX 2 4 3 3" xfId="18225" xr:uid="{00000000-0005-0000-0000-000033480000}"/>
    <cellStyle name="SAPBEXresItemX 2 4 3 4" xfId="18226" xr:uid="{00000000-0005-0000-0000-000034480000}"/>
    <cellStyle name="SAPBEXresItemX 2 4 3 5" xfId="18227" xr:uid="{00000000-0005-0000-0000-000035480000}"/>
    <cellStyle name="SAPBEXresItemX 2 4 3 6" xfId="18228" xr:uid="{00000000-0005-0000-0000-000036480000}"/>
    <cellStyle name="SAPBEXresItemX 2 4 4" xfId="18229" xr:uid="{00000000-0005-0000-0000-000037480000}"/>
    <cellStyle name="SAPBEXresItemX 2 4 4 2" xfId="18230" xr:uid="{00000000-0005-0000-0000-000038480000}"/>
    <cellStyle name="SAPBEXresItemX 2 4 4 3" xfId="18231" xr:uid="{00000000-0005-0000-0000-000039480000}"/>
    <cellStyle name="SAPBEXresItemX 2 4 4 4" xfId="18232" xr:uid="{00000000-0005-0000-0000-00003A480000}"/>
    <cellStyle name="SAPBEXresItemX 2 4 4 5" xfId="18233" xr:uid="{00000000-0005-0000-0000-00003B480000}"/>
    <cellStyle name="SAPBEXresItemX 2 4 4 6" xfId="18234" xr:uid="{00000000-0005-0000-0000-00003C480000}"/>
    <cellStyle name="SAPBEXresItemX 2 4 5" xfId="18235" xr:uid="{00000000-0005-0000-0000-00003D480000}"/>
    <cellStyle name="SAPBEXresItemX 2 4 5 2" xfId="18236" xr:uid="{00000000-0005-0000-0000-00003E480000}"/>
    <cellStyle name="SAPBEXresItemX 2 4 5 3" xfId="18237" xr:uid="{00000000-0005-0000-0000-00003F480000}"/>
    <cellStyle name="SAPBEXresItemX 2 4 5 4" xfId="18238" xr:uid="{00000000-0005-0000-0000-000040480000}"/>
    <cellStyle name="SAPBEXresItemX 2 4 5 5" xfId="18239" xr:uid="{00000000-0005-0000-0000-000041480000}"/>
    <cellStyle name="SAPBEXresItemX 2 4 5 6" xfId="18240" xr:uid="{00000000-0005-0000-0000-000042480000}"/>
    <cellStyle name="SAPBEXresItemX 2 4 6" xfId="18241" xr:uid="{00000000-0005-0000-0000-000043480000}"/>
    <cellStyle name="SAPBEXresItemX 2 4 7" xfId="18242" xr:uid="{00000000-0005-0000-0000-000044480000}"/>
    <cellStyle name="SAPBEXresItemX 2 4 8" xfId="18243" xr:uid="{00000000-0005-0000-0000-000045480000}"/>
    <cellStyle name="SAPBEXresItemX 2 5" xfId="18244" xr:uid="{00000000-0005-0000-0000-000046480000}"/>
    <cellStyle name="SAPBEXresItemX 2 5 2" xfId="18245" xr:uid="{00000000-0005-0000-0000-000047480000}"/>
    <cellStyle name="SAPBEXresItemX 2 5 3" xfId="18246" xr:uid="{00000000-0005-0000-0000-000048480000}"/>
    <cellStyle name="SAPBEXresItemX 2 5 4" xfId="18247" xr:uid="{00000000-0005-0000-0000-000049480000}"/>
    <cellStyle name="SAPBEXresItemX 2 6" xfId="18248" xr:uid="{00000000-0005-0000-0000-00004A480000}"/>
    <cellStyle name="SAPBEXresItemX 2 6 2" xfId="18249" xr:uid="{00000000-0005-0000-0000-00004B480000}"/>
    <cellStyle name="SAPBEXresItemX 2 6 3" xfId="18250" xr:uid="{00000000-0005-0000-0000-00004C480000}"/>
    <cellStyle name="SAPBEXresItemX 2 6 4" xfId="18251" xr:uid="{00000000-0005-0000-0000-00004D480000}"/>
    <cellStyle name="SAPBEXresItemX 2 7" xfId="18252" xr:uid="{00000000-0005-0000-0000-00004E480000}"/>
    <cellStyle name="SAPBEXresItemX 2 7 2" xfId="18253" xr:uid="{00000000-0005-0000-0000-00004F480000}"/>
    <cellStyle name="SAPBEXresItemX 2 7 3" xfId="18254" xr:uid="{00000000-0005-0000-0000-000050480000}"/>
    <cellStyle name="SAPBEXresItemX 2 7 4" xfId="18255" xr:uid="{00000000-0005-0000-0000-000051480000}"/>
    <cellStyle name="SAPBEXresItemX 2 8" xfId="18256" xr:uid="{00000000-0005-0000-0000-000052480000}"/>
    <cellStyle name="SAPBEXresItemX 2 8 2" xfId="18257" xr:uid="{00000000-0005-0000-0000-000053480000}"/>
    <cellStyle name="SAPBEXresItemX 2 8 3" xfId="18258" xr:uid="{00000000-0005-0000-0000-000054480000}"/>
    <cellStyle name="SAPBEXresItemX 2 8 4" xfId="18259" xr:uid="{00000000-0005-0000-0000-000055480000}"/>
    <cellStyle name="SAPBEXresItemX 2 9" xfId="18260" xr:uid="{00000000-0005-0000-0000-000056480000}"/>
    <cellStyle name="SAPBEXresItemX 2 9 2" xfId="18261" xr:uid="{00000000-0005-0000-0000-000057480000}"/>
    <cellStyle name="SAPBEXresItemX 2 9 3" xfId="18262" xr:uid="{00000000-0005-0000-0000-000058480000}"/>
    <cellStyle name="SAPBEXresItemX 2 9 4" xfId="18263" xr:uid="{00000000-0005-0000-0000-000059480000}"/>
    <cellStyle name="SAPBEXresItemX 20" xfId="18264" xr:uid="{00000000-0005-0000-0000-00005A480000}"/>
    <cellStyle name="SAPBEXresItemX 20 2" xfId="18265" xr:uid="{00000000-0005-0000-0000-00005B480000}"/>
    <cellStyle name="SAPBEXresItemX 20 3" xfId="18266" xr:uid="{00000000-0005-0000-0000-00005C480000}"/>
    <cellStyle name="SAPBEXresItemX 20 4" xfId="18267" xr:uid="{00000000-0005-0000-0000-00005D480000}"/>
    <cellStyle name="SAPBEXresItemX 20 5" xfId="18268" xr:uid="{00000000-0005-0000-0000-00005E480000}"/>
    <cellStyle name="SAPBEXresItemX 20 6" xfId="18269" xr:uid="{00000000-0005-0000-0000-00005F480000}"/>
    <cellStyle name="SAPBEXresItemX 21" xfId="18270" xr:uid="{00000000-0005-0000-0000-000060480000}"/>
    <cellStyle name="SAPBEXresItemX 21 2" xfId="18271" xr:uid="{00000000-0005-0000-0000-000061480000}"/>
    <cellStyle name="SAPBEXresItemX 21 3" xfId="18272" xr:uid="{00000000-0005-0000-0000-000062480000}"/>
    <cellStyle name="SAPBEXresItemX 21 4" xfId="18273" xr:uid="{00000000-0005-0000-0000-000063480000}"/>
    <cellStyle name="SAPBEXresItemX 21 5" xfId="18274" xr:uid="{00000000-0005-0000-0000-000064480000}"/>
    <cellStyle name="SAPBEXresItemX 21 6" xfId="18275" xr:uid="{00000000-0005-0000-0000-000065480000}"/>
    <cellStyle name="SAPBEXresItemX 22" xfId="18276" xr:uid="{00000000-0005-0000-0000-000066480000}"/>
    <cellStyle name="SAPBEXresItemX 22 2" xfId="18277" xr:uid="{00000000-0005-0000-0000-000067480000}"/>
    <cellStyle name="SAPBEXresItemX 22 3" xfId="18278" xr:uid="{00000000-0005-0000-0000-000068480000}"/>
    <cellStyle name="SAPBEXresItemX 22 4" xfId="18279" xr:uid="{00000000-0005-0000-0000-000069480000}"/>
    <cellStyle name="SAPBEXresItemX 22 5" xfId="18280" xr:uid="{00000000-0005-0000-0000-00006A480000}"/>
    <cellStyle name="SAPBEXresItemX 22 6" xfId="18281" xr:uid="{00000000-0005-0000-0000-00006B480000}"/>
    <cellStyle name="SAPBEXresItemX 23" xfId="18282" xr:uid="{00000000-0005-0000-0000-00006C480000}"/>
    <cellStyle name="SAPBEXresItemX 23 2" xfId="18283" xr:uid="{00000000-0005-0000-0000-00006D480000}"/>
    <cellStyle name="SAPBEXresItemX 23 3" xfId="18284" xr:uid="{00000000-0005-0000-0000-00006E480000}"/>
    <cellStyle name="SAPBEXresItemX 23 4" xfId="18285" xr:uid="{00000000-0005-0000-0000-00006F480000}"/>
    <cellStyle name="SAPBEXresItemX 23 5" xfId="18286" xr:uid="{00000000-0005-0000-0000-000070480000}"/>
    <cellStyle name="SAPBEXresItemX 23 6" xfId="18287" xr:uid="{00000000-0005-0000-0000-000071480000}"/>
    <cellStyle name="SAPBEXresItemX 24" xfId="18288" xr:uid="{00000000-0005-0000-0000-000072480000}"/>
    <cellStyle name="SAPBEXresItemX 24 2" xfId="18289" xr:uid="{00000000-0005-0000-0000-000073480000}"/>
    <cellStyle name="SAPBEXresItemX 24 3" xfId="18290" xr:uid="{00000000-0005-0000-0000-000074480000}"/>
    <cellStyle name="SAPBEXresItemX 24 4" xfId="18291" xr:uid="{00000000-0005-0000-0000-000075480000}"/>
    <cellStyle name="SAPBEXresItemX 24 5" xfId="18292" xr:uid="{00000000-0005-0000-0000-000076480000}"/>
    <cellStyle name="SAPBEXresItemX 24 6" xfId="18293" xr:uid="{00000000-0005-0000-0000-000077480000}"/>
    <cellStyle name="SAPBEXresItemX 25" xfId="18294" xr:uid="{00000000-0005-0000-0000-000078480000}"/>
    <cellStyle name="SAPBEXresItemX 25 2" xfId="18295" xr:uid="{00000000-0005-0000-0000-000079480000}"/>
    <cellStyle name="SAPBEXresItemX 25 3" xfId="18296" xr:uid="{00000000-0005-0000-0000-00007A480000}"/>
    <cellStyle name="SAPBEXresItemX 25 4" xfId="18297" xr:uid="{00000000-0005-0000-0000-00007B480000}"/>
    <cellStyle name="SAPBEXresItemX 25 5" xfId="18298" xr:uid="{00000000-0005-0000-0000-00007C480000}"/>
    <cellStyle name="SAPBEXresItemX 25 6" xfId="18299" xr:uid="{00000000-0005-0000-0000-00007D480000}"/>
    <cellStyle name="SAPBEXresItemX 26" xfId="18300" xr:uid="{00000000-0005-0000-0000-00007E480000}"/>
    <cellStyle name="SAPBEXresItemX 26 2" xfId="18301" xr:uid="{00000000-0005-0000-0000-00007F480000}"/>
    <cellStyle name="SAPBEXresItemX 26 3" xfId="18302" xr:uid="{00000000-0005-0000-0000-000080480000}"/>
    <cellStyle name="SAPBEXresItemX 26 4" xfId="18303" xr:uid="{00000000-0005-0000-0000-000081480000}"/>
    <cellStyle name="SAPBEXresItemX 26 5" xfId="18304" xr:uid="{00000000-0005-0000-0000-000082480000}"/>
    <cellStyle name="SAPBEXresItemX 26 6" xfId="18305" xr:uid="{00000000-0005-0000-0000-000083480000}"/>
    <cellStyle name="SAPBEXresItemX 27" xfId="18306" xr:uid="{00000000-0005-0000-0000-000084480000}"/>
    <cellStyle name="SAPBEXresItemX 27 2" xfId="18307" xr:uid="{00000000-0005-0000-0000-000085480000}"/>
    <cellStyle name="SAPBEXresItemX 27 3" xfId="18308" xr:uid="{00000000-0005-0000-0000-000086480000}"/>
    <cellStyle name="SAPBEXresItemX 27 4" xfId="18309" xr:uid="{00000000-0005-0000-0000-000087480000}"/>
    <cellStyle name="SAPBEXresItemX 27 5" xfId="18310" xr:uid="{00000000-0005-0000-0000-000088480000}"/>
    <cellStyle name="SAPBEXresItemX 27 6" xfId="18311" xr:uid="{00000000-0005-0000-0000-000089480000}"/>
    <cellStyle name="SAPBEXresItemX 28" xfId="18312" xr:uid="{00000000-0005-0000-0000-00008A480000}"/>
    <cellStyle name="SAPBEXresItemX 28 2" xfId="18313" xr:uid="{00000000-0005-0000-0000-00008B480000}"/>
    <cellStyle name="SAPBEXresItemX 28 3" xfId="18314" xr:uid="{00000000-0005-0000-0000-00008C480000}"/>
    <cellStyle name="SAPBEXresItemX 28 4" xfId="18315" xr:uid="{00000000-0005-0000-0000-00008D480000}"/>
    <cellStyle name="SAPBEXresItemX 28 5" xfId="18316" xr:uid="{00000000-0005-0000-0000-00008E480000}"/>
    <cellStyle name="SAPBEXresItemX 28 6" xfId="18317" xr:uid="{00000000-0005-0000-0000-00008F480000}"/>
    <cellStyle name="SAPBEXresItemX 29" xfId="18318" xr:uid="{00000000-0005-0000-0000-000090480000}"/>
    <cellStyle name="SAPBEXresItemX 29 2" xfId="18319" xr:uid="{00000000-0005-0000-0000-000091480000}"/>
    <cellStyle name="SAPBEXresItemX 29 3" xfId="18320" xr:uid="{00000000-0005-0000-0000-000092480000}"/>
    <cellStyle name="SAPBEXresItemX 29 4" xfId="18321" xr:uid="{00000000-0005-0000-0000-000093480000}"/>
    <cellStyle name="SAPBEXresItemX 29 5" xfId="18322" xr:uid="{00000000-0005-0000-0000-000094480000}"/>
    <cellStyle name="SAPBEXresItemX 29 6" xfId="18323" xr:uid="{00000000-0005-0000-0000-000095480000}"/>
    <cellStyle name="SAPBEXresItemX 3" xfId="18324" xr:uid="{00000000-0005-0000-0000-000096480000}"/>
    <cellStyle name="SAPBEXresItemX 3 10" xfId="18325" xr:uid="{00000000-0005-0000-0000-000097480000}"/>
    <cellStyle name="SAPBEXresItemX 3 11" xfId="18326" xr:uid="{00000000-0005-0000-0000-000098480000}"/>
    <cellStyle name="SAPBEXresItemX 3 12" xfId="18327" xr:uid="{00000000-0005-0000-0000-000099480000}"/>
    <cellStyle name="SAPBEXresItemX 3 2" xfId="18328" xr:uid="{00000000-0005-0000-0000-00009A480000}"/>
    <cellStyle name="SAPBEXresItemX 3 2 2" xfId="18329" xr:uid="{00000000-0005-0000-0000-00009B480000}"/>
    <cellStyle name="SAPBEXresItemX 3 2 2 2" xfId="18330" xr:uid="{00000000-0005-0000-0000-00009C480000}"/>
    <cellStyle name="SAPBEXresItemX 3 2 2 3" xfId="18331" xr:uid="{00000000-0005-0000-0000-00009D480000}"/>
    <cellStyle name="SAPBEXresItemX 3 2 2 4" xfId="18332" xr:uid="{00000000-0005-0000-0000-00009E480000}"/>
    <cellStyle name="SAPBEXresItemX 3 2 2 5" xfId="18333" xr:uid="{00000000-0005-0000-0000-00009F480000}"/>
    <cellStyle name="SAPBEXresItemX 3 2 2 6" xfId="18334" xr:uid="{00000000-0005-0000-0000-0000A0480000}"/>
    <cellStyle name="SAPBEXresItemX 3 2 3" xfId="18335" xr:uid="{00000000-0005-0000-0000-0000A1480000}"/>
    <cellStyle name="SAPBEXresItemX 3 2 3 2" xfId="18336" xr:uid="{00000000-0005-0000-0000-0000A2480000}"/>
    <cellStyle name="SAPBEXresItemX 3 2 3 3" xfId="18337" xr:uid="{00000000-0005-0000-0000-0000A3480000}"/>
    <cellStyle name="SAPBEXresItemX 3 2 3 4" xfId="18338" xr:uid="{00000000-0005-0000-0000-0000A4480000}"/>
    <cellStyle name="SAPBEXresItemX 3 2 3 5" xfId="18339" xr:uid="{00000000-0005-0000-0000-0000A5480000}"/>
    <cellStyle name="SAPBEXresItemX 3 2 3 6" xfId="18340" xr:uid="{00000000-0005-0000-0000-0000A6480000}"/>
    <cellStyle name="SAPBEXresItemX 3 2 4" xfId="18341" xr:uid="{00000000-0005-0000-0000-0000A7480000}"/>
    <cellStyle name="SAPBEXresItemX 3 2 4 2" xfId="18342" xr:uid="{00000000-0005-0000-0000-0000A8480000}"/>
    <cellStyle name="SAPBEXresItemX 3 2 4 3" xfId="18343" xr:uid="{00000000-0005-0000-0000-0000A9480000}"/>
    <cellStyle name="SAPBEXresItemX 3 2 4 4" xfId="18344" xr:uid="{00000000-0005-0000-0000-0000AA480000}"/>
    <cellStyle name="SAPBEXresItemX 3 2 4 5" xfId="18345" xr:uid="{00000000-0005-0000-0000-0000AB480000}"/>
    <cellStyle name="SAPBEXresItemX 3 2 4 6" xfId="18346" xr:uid="{00000000-0005-0000-0000-0000AC480000}"/>
    <cellStyle name="SAPBEXresItemX 3 2 5" xfId="18347" xr:uid="{00000000-0005-0000-0000-0000AD480000}"/>
    <cellStyle name="SAPBEXresItemX 3 2 5 2" xfId="18348" xr:uid="{00000000-0005-0000-0000-0000AE480000}"/>
    <cellStyle name="SAPBEXresItemX 3 2 5 3" xfId="18349" xr:uid="{00000000-0005-0000-0000-0000AF480000}"/>
    <cellStyle name="SAPBEXresItemX 3 2 5 4" xfId="18350" xr:uid="{00000000-0005-0000-0000-0000B0480000}"/>
    <cellStyle name="SAPBEXresItemX 3 2 5 5" xfId="18351" xr:uid="{00000000-0005-0000-0000-0000B1480000}"/>
    <cellStyle name="SAPBEXresItemX 3 2 5 6" xfId="18352" xr:uid="{00000000-0005-0000-0000-0000B2480000}"/>
    <cellStyle name="SAPBEXresItemX 3 2 6" xfId="18353" xr:uid="{00000000-0005-0000-0000-0000B3480000}"/>
    <cellStyle name="SAPBEXresItemX 3 2 7" xfId="18354" xr:uid="{00000000-0005-0000-0000-0000B4480000}"/>
    <cellStyle name="SAPBEXresItemX 3 2 8" xfId="18355" xr:uid="{00000000-0005-0000-0000-0000B5480000}"/>
    <cellStyle name="SAPBEXresItemX 3 3" xfId="18356" xr:uid="{00000000-0005-0000-0000-0000B6480000}"/>
    <cellStyle name="SAPBEXresItemX 3 3 2" xfId="18357" xr:uid="{00000000-0005-0000-0000-0000B7480000}"/>
    <cellStyle name="SAPBEXresItemX 3 3 3" xfId="18358" xr:uid="{00000000-0005-0000-0000-0000B8480000}"/>
    <cellStyle name="SAPBEXresItemX 3 3 4" xfId="18359" xr:uid="{00000000-0005-0000-0000-0000B9480000}"/>
    <cellStyle name="SAPBEXresItemX 3 3 5" xfId="18360" xr:uid="{00000000-0005-0000-0000-0000BA480000}"/>
    <cellStyle name="SAPBEXresItemX 3 3 6" xfId="18361" xr:uid="{00000000-0005-0000-0000-0000BB480000}"/>
    <cellStyle name="SAPBEXresItemX 3 4" xfId="18362" xr:uid="{00000000-0005-0000-0000-0000BC480000}"/>
    <cellStyle name="SAPBEXresItemX 3 4 2" xfId="18363" xr:uid="{00000000-0005-0000-0000-0000BD480000}"/>
    <cellStyle name="SAPBEXresItemX 3 4 3" xfId="18364" xr:uid="{00000000-0005-0000-0000-0000BE480000}"/>
    <cellStyle name="SAPBEXresItemX 3 4 4" xfId="18365" xr:uid="{00000000-0005-0000-0000-0000BF480000}"/>
    <cellStyle name="SAPBEXresItemX 3 4 5" xfId="18366" xr:uid="{00000000-0005-0000-0000-0000C0480000}"/>
    <cellStyle name="SAPBEXresItemX 3 4 6" xfId="18367" xr:uid="{00000000-0005-0000-0000-0000C1480000}"/>
    <cellStyle name="SAPBEXresItemX 3 5" xfId="18368" xr:uid="{00000000-0005-0000-0000-0000C2480000}"/>
    <cellStyle name="SAPBEXresItemX 3 5 2" xfId="18369" xr:uid="{00000000-0005-0000-0000-0000C3480000}"/>
    <cellStyle name="SAPBEXresItemX 3 5 3" xfId="18370" xr:uid="{00000000-0005-0000-0000-0000C4480000}"/>
    <cellStyle name="SAPBEXresItemX 3 5 4" xfId="18371" xr:uid="{00000000-0005-0000-0000-0000C5480000}"/>
    <cellStyle name="SAPBEXresItemX 3 6" xfId="18372" xr:uid="{00000000-0005-0000-0000-0000C6480000}"/>
    <cellStyle name="SAPBEXresItemX 3 6 2" xfId="18373" xr:uid="{00000000-0005-0000-0000-0000C7480000}"/>
    <cellStyle name="SAPBEXresItemX 3 6 3" xfId="18374" xr:uid="{00000000-0005-0000-0000-0000C8480000}"/>
    <cellStyle name="SAPBEXresItemX 3 6 4" xfId="18375" xr:uid="{00000000-0005-0000-0000-0000C9480000}"/>
    <cellStyle name="SAPBEXresItemX 3 7" xfId="18376" xr:uid="{00000000-0005-0000-0000-0000CA480000}"/>
    <cellStyle name="SAPBEXresItemX 3 7 2" xfId="18377" xr:uid="{00000000-0005-0000-0000-0000CB480000}"/>
    <cellStyle name="SAPBEXresItemX 3 7 3" xfId="18378" xr:uid="{00000000-0005-0000-0000-0000CC480000}"/>
    <cellStyle name="SAPBEXresItemX 3 7 4" xfId="18379" xr:uid="{00000000-0005-0000-0000-0000CD480000}"/>
    <cellStyle name="SAPBEXresItemX 3 8" xfId="18380" xr:uid="{00000000-0005-0000-0000-0000CE480000}"/>
    <cellStyle name="SAPBEXresItemX 3 9" xfId="18381" xr:uid="{00000000-0005-0000-0000-0000CF480000}"/>
    <cellStyle name="SAPBEXresItemX 30" xfId="18382" xr:uid="{00000000-0005-0000-0000-0000D0480000}"/>
    <cellStyle name="SAPBEXresItemX 30 2" xfId="18383" xr:uid="{00000000-0005-0000-0000-0000D1480000}"/>
    <cellStyle name="SAPBEXresItemX 30 3" xfId="18384" xr:uid="{00000000-0005-0000-0000-0000D2480000}"/>
    <cellStyle name="SAPBEXresItemX 30 4" xfId="18385" xr:uid="{00000000-0005-0000-0000-0000D3480000}"/>
    <cellStyle name="SAPBEXresItemX 30 5" xfId="18386" xr:uid="{00000000-0005-0000-0000-0000D4480000}"/>
    <cellStyle name="SAPBEXresItemX 30 6" xfId="18387" xr:uid="{00000000-0005-0000-0000-0000D5480000}"/>
    <cellStyle name="SAPBEXresItemX 31" xfId="18388" xr:uid="{00000000-0005-0000-0000-0000D6480000}"/>
    <cellStyle name="SAPBEXresItemX 31 2" xfId="18389" xr:uid="{00000000-0005-0000-0000-0000D7480000}"/>
    <cellStyle name="SAPBEXresItemX 31 3" xfId="18390" xr:uid="{00000000-0005-0000-0000-0000D8480000}"/>
    <cellStyle name="SAPBEXresItemX 31 4" xfId="18391" xr:uid="{00000000-0005-0000-0000-0000D9480000}"/>
    <cellStyle name="SAPBEXresItemX 31 5" xfId="18392" xr:uid="{00000000-0005-0000-0000-0000DA480000}"/>
    <cellStyle name="SAPBEXresItemX 31 6" xfId="18393" xr:uid="{00000000-0005-0000-0000-0000DB480000}"/>
    <cellStyle name="SAPBEXresItemX 32" xfId="18394" xr:uid="{00000000-0005-0000-0000-0000DC480000}"/>
    <cellStyle name="SAPBEXresItemX 32 2" xfId="18395" xr:uid="{00000000-0005-0000-0000-0000DD480000}"/>
    <cellStyle name="SAPBEXresItemX 32 3" xfId="18396" xr:uid="{00000000-0005-0000-0000-0000DE480000}"/>
    <cellStyle name="SAPBEXresItemX 32 4" xfId="18397" xr:uid="{00000000-0005-0000-0000-0000DF480000}"/>
    <cellStyle name="SAPBEXresItemX 32 5" xfId="18398" xr:uid="{00000000-0005-0000-0000-0000E0480000}"/>
    <cellStyle name="SAPBEXresItemX 32 6" xfId="18399" xr:uid="{00000000-0005-0000-0000-0000E1480000}"/>
    <cellStyle name="SAPBEXresItemX 33" xfId="18400" xr:uid="{00000000-0005-0000-0000-0000E2480000}"/>
    <cellStyle name="SAPBEXresItemX 34" xfId="18401" xr:uid="{00000000-0005-0000-0000-0000E3480000}"/>
    <cellStyle name="SAPBEXresItemX 35" xfId="18402" xr:uid="{00000000-0005-0000-0000-0000E4480000}"/>
    <cellStyle name="SAPBEXresItemX 36" xfId="27803" xr:uid="{00000000-0005-0000-0000-0000E5480000}"/>
    <cellStyle name="SAPBEXresItemX 37" xfId="27934" xr:uid="{00000000-0005-0000-0000-0000E6480000}"/>
    <cellStyle name="SAPBEXresItemX 38" xfId="28033" xr:uid="{00000000-0005-0000-0000-0000E7480000}"/>
    <cellStyle name="SAPBEXresItemX 39" xfId="28166" xr:uid="{00000000-0005-0000-0000-0000E8480000}"/>
    <cellStyle name="SAPBEXresItemX 4" xfId="18403" xr:uid="{00000000-0005-0000-0000-0000E9480000}"/>
    <cellStyle name="SAPBEXresItemX 4 2" xfId="18404" xr:uid="{00000000-0005-0000-0000-0000EA480000}"/>
    <cellStyle name="SAPBEXresItemX 4 3" xfId="18405" xr:uid="{00000000-0005-0000-0000-0000EB480000}"/>
    <cellStyle name="SAPBEXresItemX 4 4" xfId="18406" xr:uid="{00000000-0005-0000-0000-0000EC480000}"/>
    <cellStyle name="SAPBEXresItemX 4 5" xfId="18407" xr:uid="{00000000-0005-0000-0000-0000ED480000}"/>
    <cellStyle name="SAPBEXresItemX 4 6" xfId="18408" xr:uid="{00000000-0005-0000-0000-0000EE480000}"/>
    <cellStyle name="SAPBEXresItemX 5" xfId="18409" xr:uid="{00000000-0005-0000-0000-0000EF480000}"/>
    <cellStyle name="SAPBEXresItemX 5 2" xfId="18410" xr:uid="{00000000-0005-0000-0000-0000F0480000}"/>
    <cellStyle name="SAPBEXresItemX 5 3" xfId="18411" xr:uid="{00000000-0005-0000-0000-0000F1480000}"/>
    <cellStyle name="SAPBEXresItemX 5 4" xfId="18412" xr:uid="{00000000-0005-0000-0000-0000F2480000}"/>
    <cellStyle name="SAPBEXresItemX 5 5" xfId="18413" xr:uid="{00000000-0005-0000-0000-0000F3480000}"/>
    <cellStyle name="SAPBEXresItemX 5 6" xfId="18414" xr:uid="{00000000-0005-0000-0000-0000F4480000}"/>
    <cellStyle name="SAPBEXresItemX 6" xfId="18415" xr:uid="{00000000-0005-0000-0000-0000F5480000}"/>
    <cellStyle name="SAPBEXresItemX 6 10" xfId="18416" xr:uid="{00000000-0005-0000-0000-0000F6480000}"/>
    <cellStyle name="SAPBEXresItemX 6 2" xfId="18417" xr:uid="{00000000-0005-0000-0000-0000F7480000}"/>
    <cellStyle name="SAPBEXresItemX 6 2 2" xfId="18418" xr:uid="{00000000-0005-0000-0000-0000F8480000}"/>
    <cellStyle name="SAPBEXresItemX 6 2 3" xfId="18419" xr:uid="{00000000-0005-0000-0000-0000F9480000}"/>
    <cellStyle name="SAPBEXresItemX 6 2 4" xfId="18420" xr:uid="{00000000-0005-0000-0000-0000FA480000}"/>
    <cellStyle name="SAPBEXresItemX 6 3" xfId="18421" xr:uid="{00000000-0005-0000-0000-0000FB480000}"/>
    <cellStyle name="SAPBEXresItemX 6 3 2" xfId="18422" xr:uid="{00000000-0005-0000-0000-0000FC480000}"/>
    <cellStyle name="SAPBEXresItemX 6 3 3" xfId="18423" xr:uid="{00000000-0005-0000-0000-0000FD480000}"/>
    <cellStyle name="SAPBEXresItemX 6 3 4" xfId="18424" xr:uid="{00000000-0005-0000-0000-0000FE480000}"/>
    <cellStyle name="SAPBEXresItemX 6 4" xfId="18425" xr:uid="{00000000-0005-0000-0000-0000FF480000}"/>
    <cellStyle name="SAPBEXresItemX 6 4 2" xfId="18426" xr:uid="{00000000-0005-0000-0000-000000490000}"/>
    <cellStyle name="SAPBEXresItemX 6 4 3" xfId="18427" xr:uid="{00000000-0005-0000-0000-000001490000}"/>
    <cellStyle name="SAPBEXresItemX 6 4 4" xfId="18428" xr:uid="{00000000-0005-0000-0000-000002490000}"/>
    <cellStyle name="SAPBEXresItemX 6 5" xfId="18429" xr:uid="{00000000-0005-0000-0000-000003490000}"/>
    <cellStyle name="SAPBEXresItemX 6 5 2" xfId="18430" xr:uid="{00000000-0005-0000-0000-000004490000}"/>
    <cellStyle name="SAPBEXresItemX 6 5 3" xfId="18431" xr:uid="{00000000-0005-0000-0000-000005490000}"/>
    <cellStyle name="SAPBEXresItemX 6 5 4" xfId="18432" xr:uid="{00000000-0005-0000-0000-000006490000}"/>
    <cellStyle name="SAPBEXresItemX 6 6" xfId="18433" xr:uid="{00000000-0005-0000-0000-000007490000}"/>
    <cellStyle name="SAPBEXresItemX 6 7" xfId="18434" xr:uid="{00000000-0005-0000-0000-000008490000}"/>
    <cellStyle name="SAPBEXresItemX 6 8" xfId="18435" xr:uid="{00000000-0005-0000-0000-000009490000}"/>
    <cellStyle name="SAPBEXresItemX 6 9" xfId="18436" xr:uid="{00000000-0005-0000-0000-00000A490000}"/>
    <cellStyle name="SAPBEXresItemX 7" xfId="18437" xr:uid="{00000000-0005-0000-0000-00000B490000}"/>
    <cellStyle name="SAPBEXresItemX 7 10" xfId="18438" xr:uid="{00000000-0005-0000-0000-00000C490000}"/>
    <cellStyle name="SAPBEXresItemX 7 2" xfId="18439" xr:uid="{00000000-0005-0000-0000-00000D490000}"/>
    <cellStyle name="SAPBEXresItemX 7 2 2" xfId="18440" xr:uid="{00000000-0005-0000-0000-00000E490000}"/>
    <cellStyle name="SAPBEXresItemX 7 2 3" xfId="18441" xr:uid="{00000000-0005-0000-0000-00000F490000}"/>
    <cellStyle name="SAPBEXresItemX 7 2 4" xfId="18442" xr:uid="{00000000-0005-0000-0000-000010490000}"/>
    <cellStyle name="SAPBEXresItemX 7 3" xfId="18443" xr:uid="{00000000-0005-0000-0000-000011490000}"/>
    <cellStyle name="SAPBEXresItemX 7 3 2" xfId="18444" xr:uid="{00000000-0005-0000-0000-000012490000}"/>
    <cellStyle name="SAPBEXresItemX 7 3 3" xfId="18445" xr:uid="{00000000-0005-0000-0000-000013490000}"/>
    <cellStyle name="SAPBEXresItemX 7 3 4" xfId="18446" xr:uid="{00000000-0005-0000-0000-000014490000}"/>
    <cellStyle name="SAPBEXresItemX 7 4" xfId="18447" xr:uid="{00000000-0005-0000-0000-000015490000}"/>
    <cellStyle name="SAPBEXresItemX 7 4 2" xfId="18448" xr:uid="{00000000-0005-0000-0000-000016490000}"/>
    <cellStyle name="SAPBEXresItemX 7 4 3" xfId="18449" xr:uid="{00000000-0005-0000-0000-000017490000}"/>
    <cellStyle name="SAPBEXresItemX 7 4 4" xfId="18450" xr:uid="{00000000-0005-0000-0000-000018490000}"/>
    <cellStyle name="SAPBEXresItemX 7 5" xfId="18451" xr:uid="{00000000-0005-0000-0000-000019490000}"/>
    <cellStyle name="SAPBEXresItemX 7 5 2" xfId="18452" xr:uid="{00000000-0005-0000-0000-00001A490000}"/>
    <cellStyle name="SAPBEXresItemX 7 5 3" xfId="18453" xr:uid="{00000000-0005-0000-0000-00001B490000}"/>
    <cellStyle name="SAPBEXresItemX 7 5 4" xfId="18454" xr:uid="{00000000-0005-0000-0000-00001C490000}"/>
    <cellStyle name="SAPBEXresItemX 7 6" xfId="18455" xr:uid="{00000000-0005-0000-0000-00001D490000}"/>
    <cellStyle name="SAPBEXresItemX 7 7" xfId="18456" xr:uid="{00000000-0005-0000-0000-00001E490000}"/>
    <cellStyle name="SAPBEXresItemX 7 8" xfId="18457" xr:uid="{00000000-0005-0000-0000-00001F490000}"/>
    <cellStyle name="SAPBEXresItemX 7 9" xfId="18458" xr:uid="{00000000-0005-0000-0000-000020490000}"/>
    <cellStyle name="SAPBEXresItemX 8" xfId="18459" xr:uid="{00000000-0005-0000-0000-000021490000}"/>
    <cellStyle name="SAPBEXresItemX 8 2" xfId="18460" xr:uid="{00000000-0005-0000-0000-000022490000}"/>
    <cellStyle name="SAPBEXresItemX 8 3" xfId="18461" xr:uid="{00000000-0005-0000-0000-000023490000}"/>
    <cellStyle name="SAPBEXresItemX 8 4" xfId="18462" xr:uid="{00000000-0005-0000-0000-000024490000}"/>
    <cellStyle name="SAPBEXresItemX 8 5" xfId="18463" xr:uid="{00000000-0005-0000-0000-000025490000}"/>
    <cellStyle name="SAPBEXresItemX 8 6" xfId="18464" xr:uid="{00000000-0005-0000-0000-000026490000}"/>
    <cellStyle name="SAPBEXresItemX 9" xfId="18465" xr:uid="{00000000-0005-0000-0000-000027490000}"/>
    <cellStyle name="SAPBEXresItemX 9 2" xfId="18466" xr:uid="{00000000-0005-0000-0000-000028490000}"/>
    <cellStyle name="SAPBEXresItemX 9 3" xfId="18467" xr:uid="{00000000-0005-0000-0000-000029490000}"/>
    <cellStyle name="SAPBEXresItemX 9 4" xfId="18468" xr:uid="{00000000-0005-0000-0000-00002A490000}"/>
    <cellStyle name="SAPBEXresItemX 9 5" xfId="18469" xr:uid="{00000000-0005-0000-0000-00002B490000}"/>
    <cellStyle name="SAPBEXresItemX 9 6" xfId="18470" xr:uid="{00000000-0005-0000-0000-00002C490000}"/>
    <cellStyle name="SAPBEXresItemX_Receipts" xfId="18471" xr:uid="{00000000-0005-0000-0000-00002D490000}"/>
    <cellStyle name="SAPBEXstdData" xfId="18472" xr:uid="{00000000-0005-0000-0000-00002E490000}"/>
    <cellStyle name="SAPBEXstdData 10" xfId="18473" xr:uid="{00000000-0005-0000-0000-00002F490000}"/>
    <cellStyle name="SAPBEXstdData 10 2" xfId="18474" xr:uid="{00000000-0005-0000-0000-000030490000}"/>
    <cellStyle name="SAPBEXstdData 10 3" xfId="18475" xr:uid="{00000000-0005-0000-0000-000031490000}"/>
    <cellStyle name="SAPBEXstdData 10 4" xfId="18476" xr:uid="{00000000-0005-0000-0000-000032490000}"/>
    <cellStyle name="SAPBEXstdData 10 5" xfId="18477" xr:uid="{00000000-0005-0000-0000-000033490000}"/>
    <cellStyle name="SAPBEXstdData 10 6" xfId="18478" xr:uid="{00000000-0005-0000-0000-000034490000}"/>
    <cellStyle name="SAPBEXstdData 10 7" xfId="28042" xr:uid="{00000000-0005-0000-0000-000035490000}"/>
    <cellStyle name="SAPBEXstdData 100" xfId="18479" xr:uid="{00000000-0005-0000-0000-000036490000}"/>
    <cellStyle name="SAPBEXstdData 101" xfId="18480" xr:uid="{00000000-0005-0000-0000-000037490000}"/>
    <cellStyle name="SAPBEXstdData 102" xfId="18481" xr:uid="{00000000-0005-0000-0000-000038490000}"/>
    <cellStyle name="SAPBEXstdData 103" xfId="18482" xr:uid="{00000000-0005-0000-0000-000039490000}"/>
    <cellStyle name="SAPBEXstdData 104" xfId="18483" xr:uid="{00000000-0005-0000-0000-00003A490000}"/>
    <cellStyle name="SAPBEXstdData 105" xfId="18484" xr:uid="{00000000-0005-0000-0000-00003B490000}"/>
    <cellStyle name="SAPBEXstdData 106" xfId="18485" xr:uid="{00000000-0005-0000-0000-00003C490000}"/>
    <cellStyle name="SAPBEXstdData 107" xfId="18486" xr:uid="{00000000-0005-0000-0000-00003D490000}"/>
    <cellStyle name="SAPBEXstdData 108" xfId="18487" xr:uid="{00000000-0005-0000-0000-00003E490000}"/>
    <cellStyle name="SAPBEXstdData 109" xfId="18488" xr:uid="{00000000-0005-0000-0000-00003F490000}"/>
    <cellStyle name="SAPBEXstdData 11" xfId="18489" xr:uid="{00000000-0005-0000-0000-000040490000}"/>
    <cellStyle name="SAPBEXstdData 11 2" xfId="18490" xr:uid="{00000000-0005-0000-0000-000041490000}"/>
    <cellStyle name="SAPBEXstdData 11 3" xfId="18491" xr:uid="{00000000-0005-0000-0000-000042490000}"/>
    <cellStyle name="SAPBEXstdData 11 4" xfId="18492" xr:uid="{00000000-0005-0000-0000-000043490000}"/>
    <cellStyle name="SAPBEXstdData 11 5" xfId="18493" xr:uid="{00000000-0005-0000-0000-000044490000}"/>
    <cellStyle name="SAPBEXstdData 11 6" xfId="18494" xr:uid="{00000000-0005-0000-0000-000045490000}"/>
    <cellStyle name="SAPBEXstdData 110" xfId="18495" xr:uid="{00000000-0005-0000-0000-000046490000}"/>
    <cellStyle name="SAPBEXstdData 111" xfId="18496" xr:uid="{00000000-0005-0000-0000-000047490000}"/>
    <cellStyle name="SAPBEXstdData 112" xfId="18497" xr:uid="{00000000-0005-0000-0000-000048490000}"/>
    <cellStyle name="SAPBEXstdData 113" xfId="18498" xr:uid="{00000000-0005-0000-0000-000049490000}"/>
    <cellStyle name="SAPBEXstdData 114" xfId="18499" xr:uid="{00000000-0005-0000-0000-00004A490000}"/>
    <cellStyle name="SAPBEXstdData 115" xfId="18500" xr:uid="{00000000-0005-0000-0000-00004B490000}"/>
    <cellStyle name="SAPBEXstdData 116" xfId="18501" xr:uid="{00000000-0005-0000-0000-00004C490000}"/>
    <cellStyle name="SAPBEXstdData 117" xfId="18502" xr:uid="{00000000-0005-0000-0000-00004D490000}"/>
    <cellStyle name="SAPBEXstdData 118" xfId="18503" xr:uid="{00000000-0005-0000-0000-00004E490000}"/>
    <cellStyle name="SAPBEXstdData 119" xfId="18504" xr:uid="{00000000-0005-0000-0000-00004F490000}"/>
    <cellStyle name="SAPBEXstdData 12" xfId="18505" xr:uid="{00000000-0005-0000-0000-000050490000}"/>
    <cellStyle name="SAPBEXstdData 12 2" xfId="18506" xr:uid="{00000000-0005-0000-0000-000051490000}"/>
    <cellStyle name="SAPBEXstdData 12 3" xfId="18507" xr:uid="{00000000-0005-0000-0000-000052490000}"/>
    <cellStyle name="SAPBEXstdData 12 4" xfId="18508" xr:uid="{00000000-0005-0000-0000-000053490000}"/>
    <cellStyle name="SAPBEXstdData 12 5" xfId="18509" xr:uid="{00000000-0005-0000-0000-000054490000}"/>
    <cellStyle name="SAPBEXstdData 12 6" xfId="18510" xr:uid="{00000000-0005-0000-0000-000055490000}"/>
    <cellStyle name="SAPBEXstdData 120" xfId="18511" xr:uid="{00000000-0005-0000-0000-000056490000}"/>
    <cellStyle name="SAPBEXstdData 121" xfId="18512" xr:uid="{00000000-0005-0000-0000-000057490000}"/>
    <cellStyle name="SAPBEXstdData 122" xfId="18513" xr:uid="{00000000-0005-0000-0000-000058490000}"/>
    <cellStyle name="SAPBEXstdData 123" xfId="18514" xr:uid="{00000000-0005-0000-0000-000059490000}"/>
    <cellStyle name="SAPBEXstdData 124" xfId="18515" xr:uid="{00000000-0005-0000-0000-00005A490000}"/>
    <cellStyle name="SAPBEXstdData 125" xfId="18516" xr:uid="{00000000-0005-0000-0000-00005B490000}"/>
    <cellStyle name="SAPBEXstdData 126" xfId="18517" xr:uid="{00000000-0005-0000-0000-00005C490000}"/>
    <cellStyle name="SAPBEXstdData 127" xfId="18518" xr:uid="{00000000-0005-0000-0000-00005D490000}"/>
    <cellStyle name="SAPBEXstdData 128" xfId="18519" xr:uid="{00000000-0005-0000-0000-00005E490000}"/>
    <cellStyle name="SAPBEXstdData 129" xfId="18520" xr:uid="{00000000-0005-0000-0000-00005F490000}"/>
    <cellStyle name="SAPBEXstdData 13" xfId="18521" xr:uid="{00000000-0005-0000-0000-000060490000}"/>
    <cellStyle name="SAPBEXstdData 13 2" xfId="18522" xr:uid="{00000000-0005-0000-0000-000061490000}"/>
    <cellStyle name="SAPBEXstdData 13 3" xfId="18523" xr:uid="{00000000-0005-0000-0000-000062490000}"/>
    <cellStyle name="SAPBEXstdData 13 4" xfId="18524" xr:uid="{00000000-0005-0000-0000-000063490000}"/>
    <cellStyle name="SAPBEXstdData 13 5" xfId="18525" xr:uid="{00000000-0005-0000-0000-000064490000}"/>
    <cellStyle name="SAPBEXstdData 13 6" xfId="18526" xr:uid="{00000000-0005-0000-0000-000065490000}"/>
    <cellStyle name="SAPBEXstdData 130" xfId="18527" xr:uid="{00000000-0005-0000-0000-000066490000}"/>
    <cellStyle name="SAPBEXstdData 131" xfId="18528" xr:uid="{00000000-0005-0000-0000-000067490000}"/>
    <cellStyle name="SAPBEXstdData 132" xfId="18529" xr:uid="{00000000-0005-0000-0000-000068490000}"/>
    <cellStyle name="SAPBEXstdData 133" xfId="18530" xr:uid="{00000000-0005-0000-0000-000069490000}"/>
    <cellStyle name="SAPBEXstdData 134" xfId="18531" xr:uid="{00000000-0005-0000-0000-00006A490000}"/>
    <cellStyle name="SAPBEXstdData 135" xfId="18532" xr:uid="{00000000-0005-0000-0000-00006B490000}"/>
    <cellStyle name="SAPBEXstdData 136" xfId="18533" xr:uid="{00000000-0005-0000-0000-00006C490000}"/>
    <cellStyle name="SAPBEXstdData 137" xfId="18534" xr:uid="{00000000-0005-0000-0000-00006D490000}"/>
    <cellStyle name="SAPBEXstdData 138" xfId="18535" xr:uid="{00000000-0005-0000-0000-00006E490000}"/>
    <cellStyle name="SAPBEXstdData 139" xfId="18536" xr:uid="{00000000-0005-0000-0000-00006F490000}"/>
    <cellStyle name="SAPBEXstdData 14" xfId="18537" xr:uid="{00000000-0005-0000-0000-000070490000}"/>
    <cellStyle name="SAPBEXstdData 14 2" xfId="18538" xr:uid="{00000000-0005-0000-0000-000071490000}"/>
    <cellStyle name="SAPBEXstdData 14 3" xfId="18539" xr:uid="{00000000-0005-0000-0000-000072490000}"/>
    <cellStyle name="SAPBEXstdData 14 4" xfId="18540" xr:uid="{00000000-0005-0000-0000-000073490000}"/>
    <cellStyle name="SAPBEXstdData 14 5" xfId="18541" xr:uid="{00000000-0005-0000-0000-000074490000}"/>
    <cellStyle name="SAPBEXstdData 14 6" xfId="18542" xr:uid="{00000000-0005-0000-0000-000075490000}"/>
    <cellStyle name="SAPBEXstdData 140" xfId="18543" xr:uid="{00000000-0005-0000-0000-000076490000}"/>
    <cellStyle name="SAPBEXstdData 141" xfId="18544" xr:uid="{00000000-0005-0000-0000-000077490000}"/>
    <cellStyle name="SAPBEXstdData 142" xfId="18545" xr:uid="{00000000-0005-0000-0000-000078490000}"/>
    <cellStyle name="SAPBEXstdData 143" xfId="18546" xr:uid="{00000000-0005-0000-0000-000079490000}"/>
    <cellStyle name="SAPBEXstdData 144" xfId="18547" xr:uid="{00000000-0005-0000-0000-00007A490000}"/>
    <cellStyle name="SAPBEXstdData 145" xfId="18548" xr:uid="{00000000-0005-0000-0000-00007B490000}"/>
    <cellStyle name="SAPBEXstdData 146" xfId="18549" xr:uid="{00000000-0005-0000-0000-00007C490000}"/>
    <cellStyle name="SAPBEXstdData 147" xfId="18550" xr:uid="{00000000-0005-0000-0000-00007D490000}"/>
    <cellStyle name="SAPBEXstdData 148" xfId="18551" xr:uid="{00000000-0005-0000-0000-00007E490000}"/>
    <cellStyle name="SAPBEXstdData 149" xfId="18552" xr:uid="{00000000-0005-0000-0000-00007F490000}"/>
    <cellStyle name="SAPBEXstdData 15" xfId="18553" xr:uid="{00000000-0005-0000-0000-000080490000}"/>
    <cellStyle name="SAPBEXstdData 15 2" xfId="18554" xr:uid="{00000000-0005-0000-0000-000081490000}"/>
    <cellStyle name="SAPBEXstdData 15 3" xfId="18555" xr:uid="{00000000-0005-0000-0000-000082490000}"/>
    <cellStyle name="SAPBEXstdData 15 4" xfId="18556" xr:uid="{00000000-0005-0000-0000-000083490000}"/>
    <cellStyle name="SAPBEXstdData 15 5" xfId="18557" xr:uid="{00000000-0005-0000-0000-000084490000}"/>
    <cellStyle name="SAPBEXstdData 15 6" xfId="18558" xr:uid="{00000000-0005-0000-0000-000085490000}"/>
    <cellStyle name="SAPBEXstdData 150" xfId="18559" xr:uid="{00000000-0005-0000-0000-000086490000}"/>
    <cellStyle name="SAPBEXstdData 151" xfId="18560" xr:uid="{00000000-0005-0000-0000-000087490000}"/>
    <cellStyle name="SAPBEXstdData 152" xfId="18561" xr:uid="{00000000-0005-0000-0000-000088490000}"/>
    <cellStyle name="SAPBEXstdData 153" xfId="18562" xr:uid="{00000000-0005-0000-0000-000089490000}"/>
    <cellStyle name="SAPBEXstdData 154" xfId="18563" xr:uid="{00000000-0005-0000-0000-00008A490000}"/>
    <cellStyle name="SAPBEXstdData 155" xfId="18564" xr:uid="{00000000-0005-0000-0000-00008B490000}"/>
    <cellStyle name="SAPBEXstdData 156" xfId="18565" xr:uid="{00000000-0005-0000-0000-00008C490000}"/>
    <cellStyle name="SAPBEXstdData 157" xfId="18566" xr:uid="{00000000-0005-0000-0000-00008D490000}"/>
    <cellStyle name="SAPBEXstdData 158" xfId="18567" xr:uid="{00000000-0005-0000-0000-00008E490000}"/>
    <cellStyle name="SAPBEXstdData 159" xfId="18568" xr:uid="{00000000-0005-0000-0000-00008F490000}"/>
    <cellStyle name="SAPBEXstdData 16" xfId="18569" xr:uid="{00000000-0005-0000-0000-000090490000}"/>
    <cellStyle name="SAPBEXstdData 16 2" xfId="18570" xr:uid="{00000000-0005-0000-0000-000091490000}"/>
    <cellStyle name="SAPBEXstdData 16 3" xfId="18571" xr:uid="{00000000-0005-0000-0000-000092490000}"/>
    <cellStyle name="SAPBEXstdData 16 4" xfId="18572" xr:uid="{00000000-0005-0000-0000-000093490000}"/>
    <cellStyle name="SAPBEXstdData 16 5" xfId="18573" xr:uid="{00000000-0005-0000-0000-000094490000}"/>
    <cellStyle name="SAPBEXstdData 16 6" xfId="18574" xr:uid="{00000000-0005-0000-0000-000095490000}"/>
    <cellStyle name="SAPBEXstdData 160" xfId="18575" xr:uid="{00000000-0005-0000-0000-000096490000}"/>
    <cellStyle name="SAPBEXstdData 161" xfId="18576" xr:uid="{00000000-0005-0000-0000-000097490000}"/>
    <cellStyle name="SAPBEXstdData 162" xfId="18577" xr:uid="{00000000-0005-0000-0000-000098490000}"/>
    <cellStyle name="SAPBEXstdData 163" xfId="18578" xr:uid="{00000000-0005-0000-0000-000099490000}"/>
    <cellStyle name="SAPBEXstdData 164" xfId="18579" xr:uid="{00000000-0005-0000-0000-00009A490000}"/>
    <cellStyle name="SAPBEXstdData 165" xfId="18580" xr:uid="{00000000-0005-0000-0000-00009B490000}"/>
    <cellStyle name="SAPBEXstdData 166" xfId="18581" xr:uid="{00000000-0005-0000-0000-00009C490000}"/>
    <cellStyle name="SAPBEXstdData 167" xfId="18582" xr:uid="{00000000-0005-0000-0000-00009D490000}"/>
    <cellStyle name="SAPBEXstdData 168" xfId="18583" xr:uid="{00000000-0005-0000-0000-00009E490000}"/>
    <cellStyle name="SAPBEXstdData 169" xfId="18584" xr:uid="{00000000-0005-0000-0000-00009F490000}"/>
    <cellStyle name="SAPBEXstdData 17" xfId="18585" xr:uid="{00000000-0005-0000-0000-0000A0490000}"/>
    <cellStyle name="SAPBEXstdData 17 2" xfId="18586" xr:uid="{00000000-0005-0000-0000-0000A1490000}"/>
    <cellStyle name="SAPBEXstdData 17 3" xfId="18587" xr:uid="{00000000-0005-0000-0000-0000A2490000}"/>
    <cellStyle name="SAPBEXstdData 17 4" xfId="18588" xr:uid="{00000000-0005-0000-0000-0000A3490000}"/>
    <cellStyle name="SAPBEXstdData 17 5" xfId="18589" xr:uid="{00000000-0005-0000-0000-0000A4490000}"/>
    <cellStyle name="SAPBEXstdData 17 6" xfId="18590" xr:uid="{00000000-0005-0000-0000-0000A5490000}"/>
    <cellStyle name="SAPBEXstdData 170" xfId="18591" xr:uid="{00000000-0005-0000-0000-0000A6490000}"/>
    <cellStyle name="SAPBEXstdData 171" xfId="18592" xr:uid="{00000000-0005-0000-0000-0000A7490000}"/>
    <cellStyle name="SAPBEXstdData 172" xfId="18593" xr:uid="{00000000-0005-0000-0000-0000A8490000}"/>
    <cellStyle name="SAPBEXstdData 173" xfId="27802" xr:uid="{00000000-0005-0000-0000-0000A9490000}"/>
    <cellStyle name="SAPBEXstdData 174" xfId="27935" xr:uid="{00000000-0005-0000-0000-0000AA490000}"/>
    <cellStyle name="SAPBEXstdData 174 2" xfId="28046" xr:uid="{00000000-0005-0000-0000-0000AB490000}"/>
    <cellStyle name="SAPBEXstdData 175" xfId="27986" xr:uid="{00000000-0005-0000-0000-0000AC490000}"/>
    <cellStyle name="SAPBEXstdData 176" xfId="28034" xr:uid="{00000000-0005-0000-0000-0000AD490000}"/>
    <cellStyle name="SAPBEXstdData 177" xfId="28167" xr:uid="{00000000-0005-0000-0000-0000AE490000}"/>
    <cellStyle name="SAPBEXstdData 18" xfId="18594" xr:uid="{00000000-0005-0000-0000-0000AF490000}"/>
    <cellStyle name="SAPBEXstdData 18 2" xfId="18595" xr:uid="{00000000-0005-0000-0000-0000B0490000}"/>
    <cellStyle name="SAPBEXstdData 18 3" xfId="18596" xr:uid="{00000000-0005-0000-0000-0000B1490000}"/>
    <cellStyle name="SAPBEXstdData 18 4" xfId="18597" xr:uid="{00000000-0005-0000-0000-0000B2490000}"/>
    <cellStyle name="SAPBEXstdData 18 5" xfId="18598" xr:uid="{00000000-0005-0000-0000-0000B3490000}"/>
    <cellStyle name="SAPBEXstdData 18 6" xfId="18599" xr:uid="{00000000-0005-0000-0000-0000B4490000}"/>
    <cellStyle name="SAPBEXstdData 19" xfId="18600" xr:uid="{00000000-0005-0000-0000-0000B5490000}"/>
    <cellStyle name="SAPBEXstdData 19 2" xfId="18601" xr:uid="{00000000-0005-0000-0000-0000B6490000}"/>
    <cellStyle name="SAPBEXstdData 19 3" xfId="18602" xr:uid="{00000000-0005-0000-0000-0000B7490000}"/>
    <cellStyle name="SAPBEXstdData 19 4" xfId="18603" xr:uid="{00000000-0005-0000-0000-0000B8490000}"/>
    <cellStyle name="SAPBEXstdData 19 5" xfId="18604" xr:uid="{00000000-0005-0000-0000-0000B9490000}"/>
    <cellStyle name="SAPBEXstdData 19 6" xfId="18605" xr:uid="{00000000-0005-0000-0000-0000BA490000}"/>
    <cellStyle name="SAPBEXstdData 2" xfId="18606" xr:uid="{00000000-0005-0000-0000-0000BB490000}"/>
    <cellStyle name="SAPBEXstdData 2 10" xfId="18607" xr:uid="{00000000-0005-0000-0000-0000BC490000}"/>
    <cellStyle name="SAPBEXstdData 2 10 2" xfId="18608" xr:uid="{00000000-0005-0000-0000-0000BD490000}"/>
    <cellStyle name="SAPBEXstdData 2 10 3" xfId="18609" xr:uid="{00000000-0005-0000-0000-0000BE490000}"/>
    <cellStyle name="SAPBEXstdData 2 10 4" xfId="18610" xr:uid="{00000000-0005-0000-0000-0000BF490000}"/>
    <cellStyle name="SAPBEXstdData 2 11" xfId="18611" xr:uid="{00000000-0005-0000-0000-0000C0490000}"/>
    <cellStyle name="SAPBEXstdData 2 11 2" xfId="18612" xr:uid="{00000000-0005-0000-0000-0000C1490000}"/>
    <cellStyle name="SAPBEXstdData 2 11 3" xfId="18613" xr:uid="{00000000-0005-0000-0000-0000C2490000}"/>
    <cellStyle name="SAPBEXstdData 2 11 4" xfId="18614" xr:uid="{00000000-0005-0000-0000-0000C3490000}"/>
    <cellStyle name="SAPBEXstdData 2 12" xfId="18615" xr:uid="{00000000-0005-0000-0000-0000C4490000}"/>
    <cellStyle name="SAPBEXstdData 2 12 2" xfId="18616" xr:uid="{00000000-0005-0000-0000-0000C5490000}"/>
    <cellStyle name="SAPBEXstdData 2 12 3" xfId="18617" xr:uid="{00000000-0005-0000-0000-0000C6490000}"/>
    <cellStyle name="SAPBEXstdData 2 12 4" xfId="18618" xr:uid="{00000000-0005-0000-0000-0000C7490000}"/>
    <cellStyle name="SAPBEXstdData 2 13" xfId="18619" xr:uid="{00000000-0005-0000-0000-0000C8490000}"/>
    <cellStyle name="SAPBEXstdData 2 13 2" xfId="18620" xr:uid="{00000000-0005-0000-0000-0000C9490000}"/>
    <cellStyle name="SAPBEXstdData 2 13 3" xfId="18621" xr:uid="{00000000-0005-0000-0000-0000CA490000}"/>
    <cellStyle name="SAPBEXstdData 2 13 4" xfId="18622" xr:uid="{00000000-0005-0000-0000-0000CB490000}"/>
    <cellStyle name="SAPBEXstdData 2 14" xfId="18623" xr:uid="{00000000-0005-0000-0000-0000CC490000}"/>
    <cellStyle name="SAPBEXstdData 2 15" xfId="18624" xr:uid="{00000000-0005-0000-0000-0000CD490000}"/>
    <cellStyle name="SAPBEXstdData 2 16" xfId="18625" xr:uid="{00000000-0005-0000-0000-0000CE490000}"/>
    <cellStyle name="SAPBEXstdData 2 17" xfId="18626" xr:uid="{00000000-0005-0000-0000-0000CF490000}"/>
    <cellStyle name="SAPBEXstdData 2 18" xfId="18627" xr:uid="{00000000-0005-0000-0000-0000D0490000}"/>
    <cellStyle name="SAPBEXstdData 2 2" xfId="18628" xr:uid="{00000000-0005-0000-0000-0000D1490000}"/>
    <cellStyle name="SAPBEXstdData 2 2 2" xfId="18629" xr:uid="{00000000-0005-0000-0000-0000D2490000}"/>
    <cellStyle name="SAPBEXstdData 2 2 2 2" xfId="18630" xr:uid="{00000000-0005-0000-0000-0000D3490000}"/>
    <cellStyle name="SAPBEXstdData 2 2 2 3" xfId="18631" xr:uid="{00000000-0005-0000-0000-0000D4490000}"/>
    <cellStyle name="SAPBEXstdData 2 2 2 4" xfId="18632" xr:uid="{00000000-0005-0000-0000-0000D5490000}"/>
    <cellStyle name="SAPBEXstdData 2 2 2 5" xfId="18633" xr:uid="{00000000-0005-0000-0000-0000D6490000}"/>
    <cellStyle name="SAPBEXstdData 2 2 2 6" xfId="18634" xr:uid="{00000000-0005-0000-0000-0000D7490000}"/>
    <cellStyle name="SAPBEXstdData 2 2 3" xfId="18635" xr:uid="{00000000-0005-0000-0000-0000D8490000}"/>
    <cellStyle name="SAPBEXstdData 2 2 3 2" xfId="18636" xr:uid="{00000000-0005-0000-0000-0000D9490000}"/>
    <cellStyle name="SAPBEXstdData 2 2 3 3" xfId="18637" xr:uid="{00000000-0005-0000-0000-0000DA490000}"/>
    <cellStyle name="SAPBEXstdData 2 2 3 4" xfId="18638" xr:uid="{00000000-0005-0000-0000-0000DB490000}"/>
    <cellStyle name="SAPBEXstdData 2 2 3 5" xfId="18639" xr:uid="{00000000-0005-0000-0000-0000DC490000}"/>
    <cellStyle name="SAPBEXstdData 2 2 3 6" xfId="18640" xr:uid="{00000000-0005-0000-0000-0000DD490000}"/>
    <cellStyle name="SAPBEXstdData 2 2 4" xfId="18641" xr:uid="{00000000-0005-0000-0000-0000DE490000}"/>
    <cellStyle name="SAPBEXstdData 2 2 4 2" xfId="18642" xr:uid="{00000000-0005-0000-0000-0000DF490000}"/>
    <cellStyle name="SAPBEXstdData 2 2 4 3" xfId="18643" xr:uid="{00000000-0005-0000-0000-0000E0490000}"/>
    <cellStyle name="SAPBEXstdData 2 2 4 4" xfId="18644" xr:uid="{00000000-0005-0000-0000-0000E1490000}"/>
    <cellStyle name="SAPBEXstdData 2 2 4 5" xfId="18645" xr:uid="{00000000-0005-0000-0000-0000E2490000}"/>
    <cellStyle name="SAPBEXstdData 2 2 4 6" xfId="18646" xr:uid="{00000000-0005-0000-0000-0000E3490000}"/>
    <cellStyle name="SAPBEXstdData 2 2 5" xfId="18647" xr:uid="{00000000-0005-0000-0000-0000E4490000}"/>
    <cellStyle name="SAPBEXstdData 2 2 5 2" xfId="18648" xr:uid="{00000000-0005-0000-0000-0000E5490000}"/>
    <cellStyle name="SAPBEXstdData 2 2 5 3" xfId="18649" xr:uid="{00000000-0005-0000-0000-0000E6490000}"/>
    <cellStyle name="SAPBEXstdData 2 2 5 4" xfId="18650" xr:uid="{00000000-0005-0000-0000-0000E7490000}"/>
    <cellStyle name="SAPBEXstdData 2 2 5 5" xfId="18651" xr:uid="{00000000-0005-0000-0000-0000E8490000}"/>
    <cellStyle name="SAPBEXstdData 2 2 5 6" xfId="18652" xr:uid="{00000000-0005-0000-0000-0000E9490000}"/>
    <cellStyle name="SAPBEXstdData 2 2 6" xfId="18653" xr:uid="{00000000-0005-0000-0000-0000EA490000}"/>
    <cellStyle name="SAPBEXstdData 2 2 7" xfId="18654" xr:uid="{00000000-0005-0000-0000-0000EB490000}"/>
    <cellStyle name="SAPBEXstdData 2 2 8" xfId="18655" xr:uid="{00000000-0005-0000-0000-0000EC490000}"/>
    <cellStyle name="SAPBEXstdData 2 3" xfId="18656" xr:uid="{00000000-0005-0000-0000-0000ED490000}"/>
    <cellStyle name="SAPBEXstdData 2 3 2" xfId="18657" xr:uid="{00000000-0005-0000-0000-0000EE490000}"/>
    <cellStyle name="SAPBEXstdData 2 3 2 2" xfId="18658" xr:uid="{00000000-0005-0000-0000-0000EF490000}"/>
    <cellStyle name="SAPBEXstdData 2 3 2 3" xfId="18659" xr:uid="{00000000-0005-0000-0000-0000F0490000}"/>
    <cellStyle name="SAPBEXstdData 2 3 2 4" xfId="18660" xr:uid="{00000000-0005-0000-0000-0000F1490000}"/>
    <cellStyle name="SAPBEXstdData 2 3 2 5" xfId="18661" xr:uid="{00000000-0005-0000-0000-0000F2490000}"/>
    <cellStyle name="SAPBEXstdData 2 3 2 6" xfId="18662" xr:uid="{00000000-0005-0000-0000-0000F3490000}"/>
    <cellStyle name="SAPBEXstdData 2 3 3" xfId="18663" xr:uid="{00000000-0005-0000-0000-0000F4490000}"/>
    <cellStyle name="SAPBEXstdData 2 3 3 2" xfId="18664" xr:uid="{00000000-0005-0000-0000-0000F5490000}"/>
    <cellStyle name="SAPBEXstdData 2 3 3 3" xfId="18665" xr:uid="{00000000-0005-0000-0000-0000F6490000}"/>
    <cellStyle name="SAPBEXstdData 2 3 3 4" xfId="18666" xr:uid="{00000000-0005-0000-0000-0000F7490000}"/>
    <cellStyle name="SAPBEXstdData 2 3 3 5" xfId="18667" xr:uid="{00000000-0005-0000-0000-0000F8490000}"/>
    <cellStyle name="SAPBEXstdData 2 3 3 6" xfId="18668" xr:uid="{00000000-0005-0000-0000-0000F9490000}"/>
    <cellStyle name="SAPBEXstdData 2 3 4" xfId="18669" xr:uid="{00000000-0005-0000-0000-0000FA490000}"/>
    <cellStyle name="SAPBEXstdData 2 3 4 2" xfId="18670" xr:uid="{00000000-0005-0000-0000-0000FB490000}"/>
    <cellStyle name="SAPBEXstdData 2 3 4 3" xfId="18671" xr:uid="{00000000-0005-0000-0000-0000FC490000}"/>
    <cellStyle name="SAPBEXstdData 2 3 4 4" xfId="18672" xr:uid="{00000000-0005-0000-0000-0000FD490000}"/>
    <cellStyle name="SAPBEXstdData 2 3 4 5" xfId="18673" xr:uid="{00000000-0005-0000-0000-0000FE490000}"/>
    <cellStyle name="SAPBEXstdData 2 3 4 6" xfId="18674" xr:uid="{00000000-0005-0000-0000-0000FF490000}"/>
    <cellStyle name="SAPBEXstdData 2 3 5" xfId="18675" xr:uid="{00000000-0005-0000-0000-0000004A0000}"/>
    <cellStyle name="SAPBEXstdData 2 3 5 2" xfId="18676" xr:uid="{00000000-0005-0000-0000-0000014A0000}"/>
    <cellStyle name="SAPBEXstdData 2 3 5 3" xfId="18677" xr:uid="{00000000-0005-0000-0000-0000024A0000}"/>
    <cellStyle name="SAPBEXstdData 2 3 5 4" xfId="18678" xr:uid="{00000000-0005-0000-0000-0000034A0000}"/>
    <cellStyle name="SAPBEXstdData 2 3 5 5" xfId="18679" xr:uid="{00000000-0005-0000-0000-0000044A0000}"/>
    <cellStyle name="SAPBEXstdData 2 3 5 6" xfId="18680" xr:uid="{00000000-0005-0000-0000-0000054A0000}"/>
    <cellStyle name="SAPBEXstdData 2 3 6" xfId="18681" xr:uid="{00000000-0005-0000-0000-0000064A0000}"/>
    <cellStyle name="SAPBEXstdData 2 3 7" xfId="18682" xr:uid="{00000000-0005-0000-0000-0000074A0000}"/>
    <cellStyle name="SAPBEXstdData 2 3 8" xfId="18683" xr:uid="{00000000-0005-0000-0000-0000084A0000}"/>
    <cellStyle name="SAPBEXstdData 2 4" xfId="18684" xr:uid="{00000000-0005-0000-0000-0000094A0000}"/>
    <cellStyle name="SAPBEXstdData 2 4 2" xfId="18685" xr:uid="{00000000-0005-0000-0000-00000A4A0000}"/>
    <cellStyle name="SAPBEXstdData 2 4 2 2" xfId="18686" xr:uid="{00000000-0005-0000-0000-00000B4A0000}"/>
    <cellStyle name="SAPBEXstdData 2 4 2 3" xfId="18687" xr:uid="{00000000-0005-0000-0000-00000C4A0000}"/>
    <cellStyle name="SAPBEXstdData 2 4 2 4" xfId="18688" xr:uid="{00000000-0005-0000-0000-00000D4A0000}"/>
    <cellStyle name="SAPBEXstdData 2 4 2 5" xfId="18689" xr:uid="{00000000-0005-0000-0000-00000E4A0000}"/>
    <cellStyle name="SAPBEXstdData 2 4 2 6" xfId="18690" xr:uid="{00000000-0005-0000-0000-00000F4A0000}"/>
    <cellStyle name="SAPBEXstdData 2 4 3" xfId="18691" xr:uid="{00000000-0005-0000-0000-0000104A0000}"/>
    <cellStyle name="SAPBEXstdData 2 4 3 2" xfId="18692" xr:uid="{00000000-0005-0000-0000-0000114A0000}"/>
    <cellStyle name="SAPBEXstdData 2 4 3 3" xfId="18693" xr:uid="{00000000-0005-0000-0000-0000124A0000}"/>
    <cellStyle name="SAPBEXstdData 2 4 3 4" xfId="18694" xr:uid="{00000000-0005-0000-0000-0000134A0000}"/>
    <cellStyle name="SAPBEXstdData 2 4 3 5" xfId="18695" xr:uid="{00000000-0005-0000-0000-0000144A0000}"/>
    <cellStyle name="SAPBEXstdData 2 4 3 6" xfId="18696" xr:uid="{00000000-0005-0000-0000-0000154A0000}"/>
    <cellStyle name="SAPBEXstdData 2 4 4" xfId="18697" xr:uid="{00000000-0005-0000-0000-0000164A0000}"/>
    <cellStyle name="SAPBEXstdData 2 4 4 2" xfId="18698" xr:uid="{00000000-0005-0000-0000-0000174A0000}"/>
    <cellStyle name="SAPBEXstdData 2 4 4 3" xfId="18699" xr:uid="{00000000-0005-0000-0000-0000184A0000}"/>
    <cellStyle name="SAPBEXstdData 2 4 4 4" xfId="18700" xr:uid="{00000000-0005-0000-0000-0000194A0000}"/>
    <cellStyle name="SAPBEXstdData 2 4 4 5" xfId="18701" xr:uid="{00000000-0005-0000-0000-00001A4A0000}"/>
    <cellStyle name="SAPBEXstdData 2 4 4 6" xfId="18702" xr:uid="{00000000-0005-0000-0000-00001B4A0000}"/>
    <cellStyle name="SAPBEXstdData 2 4 5" xfId="18703" xr:uid="{00000000-0005-0000-0000-00001C4A0000}"/>
    <cellStyle name="SAPBEXstdData 2 4 5 2" xfId="18704" xr:uid="{00000000-0005-0000-0000-00001D4A0000}"/>
    <cellStyle name="SAPBEXstdData 2 4 5 3" xfId="18705" xr:uid="{00000000-0005-0000-0000-00001E4A0000}"/>
    <cellStyle name="SAPBEXstdData 2 4 5 4" xfId="18706" xr:uid="{00000000-0005-0000-0000-00001F4A0000}"/>
    <cellStyle name="SAPBEXstdData 2 4 5 5" xfId="18707" xr:uid="{00000000-0005-0000-0000-0000204A0000}"/>
    <cellStyle name="SAPBEXstdData 2 4 5 6" xfId="18708" xr:uid="{00000000-0005-0000-0000-0000214A0000}"/>
    <cellStyle name="SAPBEXstdData 2 4 6" xfId="18709" xr:uid="{00000000-0005-0000-0000-0000224A0000}"/>
    <cellStyle name="SAPBEXstdData 2 4 7" xfId="18710" xr:uid="{00000000-0005-0000-0000-0000234A0000}"/>
    <cellStyle name="SAPBEXstdData 2 4 8" xfId="18711" xr:uid="{00000000-0005-0000-0000-0000244A0000}"/>
    <cellStyle name="SAPBEXstdData 2 5" xfId="18712" xr:uid="{00000000-0005-0000-0000-0000254A0000}"/>
    <cellStyle name="SAPBEXstdData 2 5 2" xfId="18713" xr:uid="{00000000-0005-0000-0000-0000264A0000}"/>
    <cellStyle name="SAPBEXstdData 2 5 3" xfId="18714" xr:uid="{00000000-0005-0000-0000-0000274A0000}"/>
    <cellStyle name="SAPBEXstdData 2 5 4" xfId="18715" xr:uid="{00000000-0005-0000-0000-0000284A0000}"/>
    <cellStyle name="SAPBEXstdData 2 6" xfId="18716" xr:uid="{00000000-0005-0000-0000-0000294A0000}"/>
    <cellStyle name="SAPBEXstdData 2 6 2" xfId="18717" xr:uid="{00000000-0005-0000-0000-00002A4A0000}"/>
    <cellStyle name="SAPBEXstdData 2 6 3" xfId="18718" xr:uid="{00000000-0005-0000-0000-00002B4A0000}"/>
    <cellStyle name="SAPBEXstdData 2 6 4" xfId="18719" xr:uid="{00000000-0005-0000-0000-00002C4A0000}"/>
    <cellStyle name="SAPBEXstdData 2 7" xfId="18720" xr:uid="{00000000-0005-0000-0000-00002D4A0000}"/>
    <cellStyle name="SAPBEXstdData 2 7 2" xfId="18721" xr:uid="{00000000-0005-0000-0000-00002E4A0000}"/>
    <cellStyle name="SAPBEXstdData 2 7 3" xfId="18722" xr:uid="{00000000-0005-0000-0000-00002F4A0000}"/>
    <cellStyle name="SAPBEXstdData 2 7 4" xfId="18723" xr:uid="{00000000-0005-0000-0000-0000304A0000}"/>
    <cellStyle name="SAPBEXstdData 2 8" xfId="18724" xr:uid="{00000000-0005-0000-0000-0000314A0000}"/>
    <cellStyle name="SAPBEXstdData 2 8 2" xfId="18725" xr:uid="{00000000-0005-0000-0000-0000324A0000}"/>
    <cellStyle name="SAPBEXstdData 2 8 3" xfId="18726" xr:uid="{00000000-0005-0000-0000-0000334A0000}"/>
    <cellStyle name="SAPBEXstdData 2 8 4" xfId="18727" xr:uid="{00000000-0005-0000-0000-0000344A0000}"/>
    <cellStyle name="SAPBEXstdData 2 9" xfId="18728" xr:uid="{00000000-0005-0000-0000-0000354A0000}"/>
    <cellStyle name="SAPBEXstdData 2 9 2" xfId="18729" xr:uid="{00000000-0005-0000-0000-0000364A0000}"/>
    <cellStyle name="SAPBEXstdData 2 9 3" xfId="18730" xr:uid="{00000000-0005-0000-0000-0000374A0000}"/>
    <cellStyle name="SAPBEXstdData 2 9 4" xfId="18731" xr:uid="{00000000-0005-0000-0000-0000384A0000}"/>
    <cellStyle name="SAPBEXstdData 20" xfId="18732" xr:uid="{00000000-0005-0000-0000-0000394A0000}"/>
    <cellStyle name="SAPBEXstdData 20 2" xfId="18733" xr:uid="{00000000-0005-0000-0000-00003A4A0000}"/>
    <cellStyle name="SAPBEXstdData 20 3" xfId="18734" xr:uid="{00000000-0005-0000-0000-00003B4A0000}"/>
    <cellStyle name="SAPBEXstdData 20 4" xfId="18735" xr:uid="{00000000-0005-0000-0000-00003C4A0000}"/>
    <cellStyle name="SAPBEXstdData 20 5" xfId="18736" xr:uid="{00000000-0005-0000-0000-00003D4A0000}"/>
    <cellStyle name="SAPBEXstdData 20 6" xfId="18737" xr:uid="{00000000-0005-0000-0000-00003E4A0000}"/>
    <cellStyle name="SAPBEXstdData 21" xfId="18738" xr:uid="{00000000-0005-0000-0000-00003F4A0000}"/>
    <cellStyle name="SAPBEXstdData 21 2" xfId="18739" xr:uid="{00000000-0005-0000-0000-0000404A0000}"/>
    <cellStyle name="SAPBEXstdData 21 3" xfId="18740" xr:uid="{00000000-0005-0000-0000-0000414A0000}"/>
    <cellStyle name="SAPBEXstdData 21 4" xfId="18741" xr:uid="{00000000-0005-0000-0000-0000424A0000}"/>
    <cellStyle name="SAPBEXstdData 21 5" xfId="18742" xr:uid="{00000000-0005-0000-0000-0000434A0000}"/>
    <cellStyle name="SAPBEXstdData 21 6" xfId="18743" xr:uid="{00000000-0005-0000-0000-0000444A0000}"/>
    <cellStyle name="SAPBEXstdData 22" xfId="18744" xr:uid="{00000000-0005-0000-0000-0000454A0000}"/>
    <cellStyle name="SAPBEXstdData 22 2" xfId="18745" xr:uid="{00000000-0005-0000-0000-0000464A0000}"/>
    <cellStyle name="SAPBEXstdData 22 3" xfId="18746" xr:uid="{00000000-0005-0000-0000-0000474A0000}"/>
    <cellStyle name="SAPBEXstdData 22 4" xfId="18747" xr:uid="{00000000-0005-0000-0000-0000484A0000}"/>
    <cellStyle name="SAPBEXstdData 22 5" xfId="18748" xr:uid="{00000000-0005-0000-0000-0000494A0000}"/>
    <cellStyle name="SAPBEXstdData 22 6" xfId="18749" xr:uid="{00000000-0005-0000-0000-00004A4A0000}"/>
    <cellStyle name="SAPBEXstdData 23" xfId="18750" xr:uid="{00000000-0005-0000-0000-00004B4A0000}"/>
    <cellStyle name="SAPBEXstdData 23 2" xfId="18751" xr:uid="{00000000-0005-0000-0000-00004C4A0000}"/>
    <cellStyle name="SAPBEXstdData 23 3" xfId="18752" xr:uid="{00000000-0005-0000-0000-00004D4A0000}"/>
    <cellStyle name="SAPBEXstdData 23 4" xfId="18753" xr:uid="{00000000-0005-0000-0000-00004E4A0000}"/>
    <cellStyle name="SAPBEXstdData 23 5" xfId="18754" xr:uid="{00000000-0005-0000-0000-00004F4A0000}"/>
    <cellStyle name="SAPBEXstdData 23 6" xfId="18755" xr:uid="{00000000-0005-0000-0000-0000504A0000}"/>
    <cellStyle name="SAPBEXstdData 24" xfId="18756" xr:uid="{00000000-0005-0000-0000-0000514A0000}"/>
    <cellStyle name="SAPBEXstdData 24 2" xfId="18757" xr:uid="{00000000-0005-0000-0000-0000524A0000}"/>
    <cellStyle name="SAPBEXstdData 24 3" xfId="18758" xr:uid="{00000000-0005-0000-0000-0000534A0000}"/>
    <cellStyle name="SAPBEXstdData 24 4" xfId="18759" xr:uid="{00000000-0005-0000-0000-0000544A0000}"/>
    <cellStyle name="SAPBEXstdData 24 5" xfId="18760" xr:uid="{00000000-0005-0000-0000-0000554A0000}"/>
    <cellStyle name="SAPBEXstdData 24 6" xfId="18761" xr:uid="{00000000-0005-0000-0000-0000564A0000}"/>
    <cellStyle name="SAPBEXstdData 25" xfId="18762" xr:uid="{00000000-0005-0000-0000-0000574A0000}"/>
    <cellStyle name="SAPBEXstdData 25 2" xfId="18763" xr:uid="{00000000-0005-0000-0000-0000584A0000}"/>
    <cellStyle name="SAPBEXstdData 25 3" xfId="18764" xr:uid="{00000000-0005-0000-0000-0000594A0000}"/>
    <cellStyle name="SAPBEXstdData 25 4" xfId="18765" xr:uid="{00000000-0005-0000-0000-00005A4A0000}"/>
    <cellStyle name="SAPBEXstdData 25 5" xfId="18766" xr:uid="{00000000-0005-0000-0000-00005B4A0000}"/>
    <cellStyle name="SAPBEXstdData 25 6" xfId="18767" xr:uid="{00000000-0005-0000-0000-00005C4A0000}"/>
    <cellStyle name="SAPBEXstdData 26" xfId="18768" xr:uid="{00000000-0005-0000-0000-00005D4A0000}"/>
    <cellStyle name="SAPBEXstdData 26 2" xfId="18769" xr:uid="{00000000-0005-0000-0000-00005E4A0000}"/>
    <cellStyle name="SAPBEXstdData 26 3" xfId="18770" xr:uid="{00000000-0005-0000-0000-00005F4A0000}"/>
    <cellStyle name="SAPBEXstdData 26 4" xfId="18771" xr:uid="{00000000-0005-0000-0000-0000604A0000}"/>
    <cellStyle name="SAPBEXstdData 26 5" xfId="18772" xr:uid="{00000000-0005-0000-0000-0000614A0000}"/>
    <cellStyle name="SAPBEXstdData 26 6" xfId="18773" xr:uid="{00000000-0005-0000-0000-0000624A0000}"/>
    <cellStyle name="SAPBEXstdData 27" xfId="18774" xr:uid="{00000000-0005-0000-0000-0000634A0000}"/>
    <cellStyle name="SAPBEXstdData 27 2" xfId="18775" xr:uid="{00000000-0005-0000-0000-0000644A0000}"/>
    <cellStyle name="SAPBEXstdData 27 3" xfId="18776" xr:uid="{00000000-0005-0000-0000-0000654A0000}"/>
    <cellStyle name="SAPBEXstdData 27 4" xfId="18777" xr:uid="{00000000-0005-0000-0000-0000664A0000}"/>
    <cellStyle name="SAPBEXstdData 27 5" xfId="18778" xr:uid="{00000000-0005-0000-0000-0000674A0000}"/>
    <cellStyle name="SAPBEXstdData 27 6" xfId="18779" xr:uid="{00000000-0005-0000-0000-0000684A0000}"/>
    <cellStyle name="SAPBEXstdData 28" xfId="18780" xr:uid="{00000000-0005-0000-0000-0000694A0000}"/>
    <cellStyle name="SAPBEXstdData 28 2" xfId="18781" xr:uid="{00000000-0005-0000-0000-00006A4A0000}"/>
    <cellStyle name="SAPBEXstdData 28 3" xfId="18782" xr:uid="{00000000-0005-0000-0000-00006B4A0000}"/>
    <cellStyle name="SAPBEXstdData 28 4" xfId="18783" xr:uid="{00000000-0005-0000-0000-00006C4A0000}"/>
    <cellStyle name="SAPBEXstdData 28 5" xfId="18784" xr:uid="{00000000-0005-0000-0000-00006D4A0000}"/>
    <cellStyle name="SAPBEXstdData 28 6" xfId="18785" xr:uid="{00000000-0005-0000-0000-00006E4A0000}"/>
    <cellStyle name="SAPBEXstdData 29" xfId="18786" xr:uid="{00000000-0005-0000-0000-00006F4A0000}"/>
    <cellStyle name="SAPBEXstdData 29 2" xfId="18787" xr:uid="{00000000-0005-0000-0000-0000704A0000}"/>
    <cellStyle name="SAPBEXstdData 29 3" xfId="18788" xr:uid="{00000000-0005-0000-0000-0000714A0000}"/>
    <cellStyle name="SAPBEXstdData 29 4" xfId="18789" xr:uid="{00000000-0005-0000-0000-0000724A0000}"/>
    <cellStyle name="SAPBEXstdData 29 5" xfId="18790" xr:uid="{00000000-0005-0000-0000-0000734A0000}"/>
    <cellStyle name="SAPBEXstdData 29 6" xfId="18791" xr:uid="{00000000-0005-0000-0000-0000744A0000}"/>
    <cellStyle name="SAPBEXstdData 3" xfId="18792" xr:uid="{00000000-0005-0000-0000-0000754A0000}"/>
    <cellStyle name="SAPBEXstdData 3 10" xfId="18793" xr:uid="{00000000-0005-0000-0000-0000764A0000}"/>
    <cellStyle name="SAPBEXstdData 3 11" xfId="18794" xr:uid="{00000000-0005-0000-0000-0000774A0000}"/>
    <cellStyle name="SAPBEXstdData 3 12" xfId="18795" xr:uid="{00000000-0005-0000-0000-0000784A0000}"/>
    <cellStyle name="SAPBEXstdData 3 2" xfId="18796" xr:uid="{00000000-0005-0000-0000-0000794A0000}"/>
    <cellStyle name="SAPBEXstdData 3 2 2" xfId="18797" xr:uid="{00000000-0005-0000-0000-00007A4A0000}"/>
    <cellStyle name="SAPBEXstdData 3 2 2 2" xfId="18798" xr:uid="{00000000-0005-0000-0000-00007B4A0000}"/>
    <cellStyle name="SAPBEXstdData 3 2 2 3" xfId="18799" xr:uid="{00000000-0005-0000-0000-00007C4A0000}"/>
    <cellStyle name="SAPBEXstdData 3 2 2 4" xfId="18800" xr:uid="{00000000-0005-0000-0000-00007D4A0000}"/>
    <cellStyle name="SAPBEXstdData 3 2 2 5" xfId="18801" xr:uid="{00000000-0005-0000-0000-00007E4A0000}"/>
    <cellStyle name="SAPBEXstdData 3 2 2 6" xfId="18802" xr:uid="{00000000-0005-0000-0000-00007F4A0000}"/>
    <cellStyle name="SAPBEXstdData 3 2 3" xfId="18803" xr:uid="{00000000-0005-0000-0000-0000804A0000}"/>
    <cellStyle name="SAPBEXstdData 3 2 3 2" xfId="18804" xr:uid="{00000000-0005-0000-0000-0000814A0000}"/>
    <cellStyle name="SAPBEXstdData 3 2 3 3" xfId="18805" xr:uid="{00000000-0005-0000-0000-0000824A0000}"/>
    <cellStyle name="SAPBEXstdData 3 2 3 4" xfId="18806" xr:uid="{00000000-0005-0000-0000-0000834A0000}"/>
    <cellStyle name="SAPBEXstdData 3 2 3 5" xfId="18807" xr:uid="{00000000-0005-0000-0000-0000844A0000}"/>
    <cellStyle name="SAPBEXstdData 3 2 3 6" xfId="18808" xr:uid="{00000000-0005-0000-0000-0000854A0000}"/>
    <cellStyle name="SAPBEXstdData 3 2 4" xfId="18809" xr:uid="{00000000-0005-0000-0000-0000864A0000}"/>
    <cellStyle name="SAPBEXstdData 3 2 4 2" xfId="18810" xr:uid="{00000000-0005-0000-0000-0000874A0000}"/>
    <cellStyle name="SAPBEXstdData 3 2 4 3" xfId="18811" xr:uid="{00000000-0005-0000-0000-0000884A0000}"/>
    <cellStyle name="SAPBEXstdData 3 2 4 4" xfId="18812" xr:uid="{00000000-0005-0000-0000-0000894A0000}"/>
    <cellStyle name="SAPBEXstdData 3 2 4 5" xfId="18813" xr:uid="{00000000-0005-0000-0000-00008A4A0000}"/>
    <cellStyle name="SAPBEXstdData 3 2 4 6" xfId="18814" xr:uid="{00000000-0005-0000-0000-00008B4A0000}"/>
    <cellStyle name="SAPBEXstdData 3 2 5" xfId="18815" xr:uid="{00000000-0005-0000-0000-00008C4A0000}"/>
    <cellStyle name="SAPBEXstdData 3 2 5 2" xfId="18816" xr:uid="{00000000-0005-0000-0000-00008D4A0000}"/>
    <cellStyle name="SAPBEXstdData 3 2 5 3" xfId="18817" xr:uid="{00000000-0005-0000-0000-00008E4A0000}"/>
    <cellStyle name="SAPBEXstdData 3 2 5 4" xfId="18818" xr:uid="{00000000-0005-0000-0000-00008F4A0000}"/>
    <cellStyle name="SAPBEXstdData 3 2 5 5" xfId="18819" xr:uid="{00000000-0005-0000-0000-0000904A0000}"/>
    <cellStyle name="SAPBEXstdData 3 2 5 6" xfId="18820" xr:uid="{00000000-0005-0000-0000-0000914A0000}"/>
    <cellStyle name="SAPBEXstdData 3 2 6" xfId="18821" xr:uid="{00000000-0005-0000-0000-0000924A0000}"/>
    <cellStyle name="SAPBEXstdData 3 2 7" xfId="18822" xr:uid="{00000000-0005-0000-0000-0000934A0000}"/>
    <cellStyle name="SAPBEXstdData 3 2 8" xfId="18823" xr:uid="{00000000-0005-0000-0000-0000944A0000}"/>
    <cellStyle name="SAPBEXstdData 3 3" xfId="18824" xr:uid="{00000000-0005-0000-0000-0000954A0000}"/>
    <cellStyle name="SAPBEXstdData 3 3 2" xfId="18825" xr:uid="{00000000-0005-0000-0000-0000964A0000}"/>
    <cellStyle name="SAPBEXstdData 3 3 3" xfId="18826" xr:uid="{00000000-0005-0000-0000-0000974A0000}"/>
    <cellStyle name="SAPBEXstdData 3 3 4" xfId="18827" xr:uid="{00000000-0005-0000-0000-0000984A0000}"/>
    <cellStyle name="SAPBEXstdData 3 3 5" xfId="18828" xr:uid="{00000000-0005-0000-0000-0000994A0000}"/>
    <cellStyle name="SAPBEXstdData 3 3 6" xfId="18829" xr:uid="{00000000-0005-0000-0000-00009A4A0000}"/>
    <cellStyle name="SAPBEXstdData 3 4" xfId="18830" xr:uid="{00000000-0005-0000-0000-00009B4A0000}"/>
    <cellStyle name="SAPBEXstdData 3 4 2" xfId="18831" xr:uid="{00000000-0005-0000-0000-00009C4A0000}"/>
    <cellStyle name="SAPBEXstdData 3 4 3" xfId="18832" xr:uid="{00000000-0005-0000-0000-00009D4A0000}"/>
    <cellStyle name="SAPBEXstdData 3 4 4" xfId="18833" xr:uid="{00000000-0005-0000-0000-00009E4A0000}"/>
    <cellStyle name="SAPBEXstdData 3 4 5" xfId="18834" xr:uid="{00000000-0005-0000-0000-00009F4A0000}"/>
    <cellStyle name="SAPBEXstdData 3 4 6" xfId="18835" xr:uid="{00000000-0005-0000-0000-0000A04A0000}"/>
    <cellStyle name="SAPBEXstdData 3 5" xfId="18836" xr:uid="{00000000-0005-0000-0000-0000A14A0000}"/>
    <cellStyle name="SAPBEXstdData 3 5 2" xfId="18837" xr:uid="{00000000-0005-0000-0000-0000A24A0000}"/>
    <cellStyle name="SAPBEXstdData 3 5 3" xfId="18838" xr:uid="{00000000-0005-0000-0000-0000A34A0000}"/>
    <cellStyle name="SAPBEXstdData 3 5 4" xfId="18839" xr:uid="{00000000-0005-0000-0000-0000A44A0000}"/>
    <cellStyle name="SAPBEXstdData 3 6" xfId="18840" xr:uid="{00000000-0005-0000-0000-0000A54A0000}"/>
    <cellStyle name="SAPBEXstdData 3 6 2" xfId="18841" xr:uid="{00000000-0005-0000-0000-0000A64A0000}"/>
    <cellStyle name="SAPBEXstdData 3 6 3" xfId="18842" xr:uid="{00000000-0005-0000-0000-0000A74A0000}"/>
    <cellStyle name="SAPBEXstdData 3 6 4" xfId="18843" xr:uid="{00000000-0005-0000-0000-0000A84A0000}"/>
    <cellStyle name="SAPBEXstdData 3 6 5" xfId="28049" xr:uid="{00000000-0005-0000-0000-0000A94A0000}"/>
    <cellStyle name="SAPBEXstdData 3 7" xfId="18844" xr:uid="{00000000-0005-0000-0000-0000AA4A0000}"/>
    <cellStyle name="SAPBEXstdData 3 7 2" xfId="18845" xr:uid="{00000000-0005-0000-0000-0000AB4A0000}"/>
    <cellStyle name="SAPBEXstdData 3 7 3" xfId="18846" xr:uid="{00000000-0005-0000-0000-0000AC4A0000}"/>
    <cellStyle name="SAPBEXstdData 3 7 4" xfId="18847" xr:uid="{00000000-0005-0000-0000-0000AD4A0000}"/>
    <cellStyle name="SAPBEXstdData 3 8" xfId="18848" xr:uid="{00000000-0005-0000-0000-0000AE4A0000}"/>
    <cellStyle name="SAPBEXstdData 3 9" xfId="18849" xr:uid="{00000000-0005-0000-0000-0000AF4A0000}"/>
    <cellStyle name="SAPBEXstdData 30" xfId="18850" xr:uid="{00000000-0005-0000-0000-0000B04A0000}"/>
    <cellStyle name="SAPBEXstdData 30 2" xfId="18851" xr:uid="{00000000-0005-0000-0000-0000B14A0000}"/>
    <cellStyle name="SAPBEXstdData 30 3" xfId="18852" xr:uid="{00000000-0005-0000-0000-0000B24A0000}"/>
    <cellStyle name="SAPBEXstdData 30 4" xfId="18853" xr:uid="{00000000-0005-0000-0000-0000B34A0000}"/>
    <cellStyle name="SAPBEXstdData 30 5" xfId="18854" xr:uid="{00000000-0005-0000-0000-0000B44A0000}"/>
    <cellStyle name="SAPBEXstdData 30 6" xfId="18855" xr:uid="{00000000-0005-0000-0000-0000B54A0000}"/>
    <cellStyle name="SAPBEXstdData 31" xfId="18856" xr:uid="{00000000-0005-0000-0000-0000B64A0000}"/>
    <cellStyle name="SAPBEXstdData 31 2" xfId="18857" xr:uid="{00000000-0005-0000-0000-0000B74A0000}"/>
    <cellStyle name="SAPBEXstdData 31 3" xfId="18858" xr:uid="{00000000-0005-0000-0000-0000B84A0000}"/>
    <cellStyle name="SAPBEXstdData 31 4" xfId="18859" xr:uid="{00000000-0005-0000-0000-0000B94A0000}"/>
    <cellStyle name="SAPBEXstdData 31 5" xfId="18860" xr:uid="{00000000-0005-0000-0000-0000BA4A0000}"/>
    <cellStyle name="SAPBEXstdData 31 6" xfId="18861" xr:uid="{00000000-0005-0000-0000-0000BB4A0000}"/>
    <cellStyle name="SAPBEXstdData 32" xfId="18862" xr:uid="{00000000-0005-0000-0000-0000BC4A0000}"/>
    <cellStyle name="SAPBEXstdData 32 2" xfId="18863" xr:uid="{00000000-0005-0000-0000-0000BD4A0000}"/>
    <cellStyle name="SAPBEXstdData 32 3" xfId="18864" xr:uid="{00000000-0005-0000-0000-0000BE4A0000}"/>
    <cellStyle name="SAPBEXstdData 32 4" xfId="18865" xr:uid="{00000000-0005-0000-0000-0000BF4A0000}"/>
    <cellStyle name="SAPBEXstdData 32 5" xfId="18866" xr:uid="{00000000-0005-0000-0000-0000C04A0000}"/>
    <cellStyle name="SAPBEXstdData 32 6" xfId="18867" xr:uid="{00000000-0005-0000-0000-0000C14A0000}"/>
    <cellStyle name="SAPBEXstdData 33" xfId="18868" xr:uid="{00000000-0005-0000-0000-0000C24A0000}"/>
    <cellStyle name="SAPBEXstdData 34" xfId="18869" xr:uid="{00000000-0005-0000-0000-0000C34A0000}"/>
    <cellStyle name="SAPBEXstdData 35" xfId="18870" xr:uid="{00000000-0005-0000-0000-0000C44A0000}"/>
    <cellStyle name="SAPBEXstdData 36" xfId="18871" xr:uid="{00000000-0005-0000-0000-0000C54A0000}"/>
    <cellStyle name="SAPBEXstdData 37" xfId="18872" xr:uid="{00000000-0005-0000-0000-0000C64A0000}"/>
    <cellStyle name="SAPBEXstdData 38" xfId="18873" xr:uid="{00000000-0005-0000-0000-0000C74A0000}"/>
    <cellStyle name="SAPBEXstdData 39" xfId="18874" xr:uid="{00000000-0005-0000-0000-0000C84A0000}"/>
    <cellStyle name="SAPBEXstdData 4" xfId="18875" xr:uid="{00000000-0005-0000-0000-0000C94A0000}"/>
    <cellStyle name="SAPBEXstdData 4 2" xfId="18876" xr:uid="{00000000-0005-0000-0000-0000CA4A0000}"/>
    <cellStyle name="SAPBEXstdData 4 3" xfId="18877" xr:uid="{00000000-0005-0000-0000-0000CB4A0000}"/>
    <cellStyle name="SAPBEXstdData 4 4" xfId="18878" xr:uid="{00000000-0005-0000-0000-0000CC4A0000}"/>
    <cellStyle name="SAPBEXstdData 4 5" xfId="18879" xr:uid="{00000000-0005-0000-0000-0000CD4A0000}"/>
    <cellStyle name="SAPBEXstdData 4 6" xfId="18880" xr:uid="{00000000-0005-0000-0000-0000CE4A0000}"/>
    <cellStyle name="SAPBEXstdData 40" xfId="18881" xr:uid="{00000000-0005-0000-0000-0000CF4A0000}"/>
    <cellStyle name="SAPBEXstdData 41" xfId="18882" xr:uid="{00000000-0005-0000-0000-0000D04A0000}"/>
    <cellStyle name="SAPBEXstdData 42" xfId="18883" xr:uid="{00000000-0005-0000-0000-0000D14A0000}"/>
    <cellStyle name="SAPBEXstdData 43" xfId="18884" xr:uid="{00000000-0005-0000-0000-0000D24A0000}"/>
    <cellStyle name="SAPBEXstdData 44" xfId="18885" xr:uid="{00000000-0005-0000-0000-0000D34A0000}"/>
    <cellStyle name="SAPBEXstdData 45" xfId="18886" xr:uid="{00000000-0005-0000-0000-0000D44A0000}"/>
    <cellStyle name="SAPBEXstdData 46" xfId="18887" xr:uid="{00000000-0005-0000-0000-0000D54A0000}"/>
    <cellStyle name="SAPBEXstdData 47" xfId="18888" xr:uid="{00000000-0005-0000-0000-0000D64A0000}"/>
    <cellStyle name="SAPBEXstdData 48" xfId="18889" xr:uid="{00000000-0005-0000-0000-0000D74A0000}"/>
    <cellStyle name="SAPBEXstdData 49" xfId="18890" xr:uid="{00000000-0005-0000-0000-0000D84A0000}"/>
    <cellStyle name="SAPBEXstdData 5" xfId="18891" xr:uid="{00000000-0005-0000-0000-0000D94A0000}"/>
    <cellStyle name="SAPBEXstdData 5 2" xfId="18892" xr:uid="{00000000-0005-0000-0000-0000DA4A0000}"/>
    <cellStyle name="SAPBEXstdData 5 3" xfId="18893" xr:uid="{00000000-0005-0000-0000-0000DB4A0000}"/>
    <cellStyle name="SAPBEXstdData 5 4" xfId="18894" xr:uid="{00000000-0005-0000-0000-0000DC4A0000}"/>
    <cellStyle name="SAPBEXstdData 5 5" xfId="18895" xr:uid="{00000000-0005-0000-0000-0000DD4A0000}"/>
    <cellStyle name="SAPBEXstdData 5 6" xfId="18896" xr:uid="{00000000-0005-0000-0000-0000DE4A0000}"/>
    <cellStyle name="SAPBEXstdData 50" xfId="18897" xr:uid="{00000000-0005-0000-0000-0000DF4A0000}"/>
    <cellStyle name="SAPBEXstdData 51" xfId="18898" xr:uid="{00000000-0005-0000-0000-0000E04A0000}"/>
    <cellStyle name="SAPBEXstdData 52" xfId="18899" xr:uid="{00000000-0005-0000-0000-0000E14A0000}"/>
    <cellStyle name="SAPBEXstdData 53" xfId="18900" xr:uid="{00000000-0005-0000-0000-0000E24A0000}"/>
    <cellStyle name="SAPBEXstdData 54" xfId="18901" xr:uid="{00000000-0005-0000-0000-0000E34A0000}"/>
    <cellStyle name="SAPBEXstdData 55" xfId="18902" xr:uid="{00000000-0005-0000-0000-0000E44A0000}"/>
    <cellStyle name="SAPBEXstdData 56" xfId="18903" xr:uid="{00000000-0005-0000-0000-0000E54A0000}"/>
    <cellStyle name="SAPBEXstdData 57" xfId="18904" xr:uid="{00000000-0005-0000-0000-0000E64A0000}"/>
    <cellStyle name="SAPBEXstdData 58" xfId="18905" xr:uid="{00000000-0005-0000-0000-0000E74A0000}"/>
    <cellStyle name="SAPBEXstdData 59" xfId="18906" xr:uid="{00000000-0005-0000-0000-0000E84A0000}"/>
    <cellStyle name="SAPBEXstdData 6" xfId="18907" xr:uid="{00000000-0005-0000-0000-0000E94A0000}"/>
    <cellStyle name="SAPBEXstdData 6 10" xfId="18908" xr:uid="{00000000-0005-0000-0000-0000EA4A0000}"/>
    <cellStyle name="SAPBEXstdData 6 2" xfId="18909" xr:uid="{00000000-0005-0000-0000-0000EB4A0000}"/>
    <cellStyle name="SAPBEXstdData 6 2 2" xfId="18910" xr:uid="{00000000-0005-0000-0000-0000EC4A0000}"/>
    <cellStyle name="SAPBEXstdData 6 2 3" xfId="18911" xr:uid="{00000000-0005-0000-0000-0000ED4A0000}"/>
    <cellStyle name="SAPBEXstdData 6 2 4" xfId="18912" xr:uid="{00000000-0005-0000-0000-0000EE4A0000}"/>
    <cellStyle name="SAPBEXstdData 6 3" xfId="18913" xr:uid="{00000000-0005-0000-0000-0000EF4A0000}"/>
    <cellStyle name="SAPBEXstdData 6 3 2" xfId="18914" xr:uid="{00000000-0005-0000-0000-0000F04A0000}"/>
    <cellStyle name="SAPBEXstdData 6 3 3" xfId="18915" xr:uid="{00000000-0005-0000-0000-0000F14A0000}"/>
    <cellStyle name="SAPBEXstdData 6 3 4" xfId="18916" xr:uid="{00000000-0005-0000-0000-0000F24A0000}"/>
    <cellStyle name="SAPBEXstdData 6 4" xfId="18917" xr:uid="{00000000-0005-0000-0000-0000F34A0000}"/>
    <cellStyle name="SAPBEXstdData 6 4 2" xfId="18918" xr:uid="{00000000-0005-0000-0000-0000F44A0000}"/>
    <cellStyle name="SAPBEXstdData 6 4 3" xfId="18919" xr:uid="{00000000-0005-0000-0000-0000F54A0000}"/>
    <cellStyle name="SAPBEXstdData 6 4 4" xfId="18920" xr:uid="{00000000-0005-0000-0000-0000F64A0000}"/>
    <cellStyle name="SAPBEXstdData 6 5" xfId="18921" xr:uid="{00000000-0005-0000-0000-0000F74A0000}"/>
    <cellStyle name="SAPBEXstdData 6 5 2" xfId="18922" xr:uid="{00000000-0005-0000-0000-0000F84A0000}"/>
    <cellStyle name="SAPBEXstdData 6 5 3" xfId="18923" xr:uid="{00000000-0005-0000-0000-0000F94A0000}"/>
    <cellStyle name="SAPBEXstdData 6 5 4" xfId="18924" xr:uid="{00000000-0005-0000-0000-0000FA4A0000}"/>
    <cellStyle name="SAPBEXstdData 6 6" xfId="18925" xr:uid="{00000000-0005-0000-0000-0000FB4A0000}"/>
    <cellStyle name="SAPBEXstdData 6 7" xfId="18926" xr:uid="{00000000-0005-0000-0000-0000FC4A0000}"/>
    <cellStyle name="SAPBEXstdData 6 8" xfId="18927" xr:uid="{00000000-0005-0000-0000-0000FD4A0000}"/>
    <cellStyle name="SAPBEXstdData 6 9" xfId="18928" xr:uid="{00000000-0005-0000-0000-0000FE4A0000}"/>
    <cellStyle name="SAPBEXstdData 60" xfId="18929" xr:uid="{00000000-0005-0000-0000-0000FF4A0000}"/>
    <cellStyle name="SAPBEXstdData 61" xfId="18930" xr:uid="{00000000-0005-0000-0000-0000004B0000}"/>
    <cellStyle name="SAPBEXstdData 62" xfId="18931" xr:uid="{00000000-0005-0000-0000-0000014B0000}"/>
    <cellStyle name="SAPBEXstdData 63" xfId="18932" xr:uid="{00000000-0005-0000-0000-0000024B0000}"/>
    <cellStyle name="SAPBEXstdData 64" xfId="18933" xr:uid="{00000000-0005-0000-0000-0000034B0000}"/>
    <cellStyle name="SAPBEXstdData 65" xfId="18934" xr:uid="{00000000-0005-0000-0000-0000044B0000}"/>
    <cellStyle name="SAPBEXstdData 66" xfId="18935" xr:uid="{00000000-0005-0000-0000-0000054B0000}"/>
    <cellStyle name="SAPBEXstdData 67" xfId="18936" xr:uid="{00000000-0005-0000-0000-0000064B0000}"/>
    <cellStyle name="SAPBEXstdData 68" xfId="18937" xr:uid="{00000000-0005-0000-0000-0000074B0000}"/>
    <cellStyle name="SAPBEXstdData 69" xfId="18938" xr:uid="{00000000-0005-0000-0000-0000084B0000}"/>
    <cellStyle name="SAPBEXstdData 7" xfId="18939" xr:uid="{00000000-0005-0000-0000-0000094B0000}"/>
    <cellStyle name="SAPBEXstdData 7 10" xfId="18940" xr:uid="{00000000-0005-0000-0000-00000A4B0000}"/>
    <cellStyle name="SAPBEXstdData 7 2" xfId="18941" xr:uid="{00000000-0005-0000-0000-00000B4B0000}"/>
    <cellStyle name="SAPBEXstdData 7 2 2" xfId="18942" xr:uid="{00000000-0005-0000-0000-00000C4B0000}"/>
    <cellStyle name="SAPBEXstdData 7 2 3" xfId="18943" xr:uid="{00000000-0005-0000-0000-00000D4B0000}"/>
    <cellStyle name="SAPBEXstdData 7 2 4" xfId="18944" xr:uid="{00000000-0005-0000-0000-00000E4B0000}"/>
    <cellStyle name="SAPBEXstdData 7 3" xfId="18945" xr:uid="{00000000-0005-0000-0000-00000F4B0000}"/>
    <cellStyle name="SAPBEXstdData 7 3 2" xfId="18946" xr:uid="{00000000-0005-0000-0000-0000104B0000}"/>
    <cellStyle name="SAPBEXstdData 7 3 3" xfId="18947" xr:uid="{00000000-0005-0000-0000-0000114B0000}"/>
    <cellStyle name="SAPBEXstdData 7 3 4" xfId="18948" xr:uid="{00000000-0005-0000-0000-0000124B0000}"/>
    <cellStyle name="SAPBEXstdData 7 4" xfId="18949" xr:uid="{00000000-0005-0000-0000-0000134B0000}"/>
    <cellStyle name="SAPBEXstdData 7 4 2" xfId="18950" xr:uid="{00000000-0005-0000-0000-0000144B0000}"/>
    <cellStyle name="SAPBEXstdData 7 4 3" xfId="18951" xr:uid="{00000000-0005-0000-0000-0000154B0000}"/>
    <cellStyle name="SAPBEXstdData 7 4 4" xfId="18952" xr:uid="{00000000-0005-0000-0000-0000164B0000}"/>
    <cellStyle name="SAPBEXstdData 7 5" xfId="18953" xr:uid="{00000000-0005-0000-0000-0000174B0000}"/>
    <cellStyle name="SAPBEXstdData 7 5 2" xfId="18954" xr:uid="{00000000-0005-0000-0000-0000184B0000}"/>
    <cellStyle name="SAPBEXstdData 7 5 3" xfId="18955" xr:uid="{00000000-0005-0000-0000-0000194B0000}"/>
    <cellStyle name="SAPBEXstdData 7 5 4" xfId="18956" xr:uid="{00000000-0005-0000-0000-00001A4B0000}"/>
    <cellStyle name="SAPBEXstdData 7 6" xfId="18957" xr:uid="{00000000-0005-0000-0000-00001B4B0000}"/>
    <cellStyle name="SAPBEXstdData 7 7" xfId="18958" xr:uid="{00000000-0005-0000-0000-00001C4B0000}"/>
    <cellStyle name="SAPBEXstdData 7 8" xfId="18959" xr:uid="{00000000-0005-0000-0000-00001D4B0000}"/>
    <cellStyle name="SAPBEXstdData 7 9" xfId="18960" xr:uid="{00000000-0005-0000-0000-00001E4B0000}"/>
    <cellStyle name="SAPBEXstdData 70" xfId="18961" xr:uid="{00000000-0005-0000-0000-00001F4B0000}"/>
    <cellStyle name="SAPBEXstdData 71" xfId="18962" xr:uid="{00000000-0005-0000-0000-0000204B0000}"/>
    <cellStyle name="SAPBEXstdData 72" xfId="18963" xr:uid="{00000000-0005-0000-0000-0000214B0000}"/>
    <cellStyle name="SAPBEXstdData 73" xfId="18964" xr:uid="{00000000-0005-0000-0000-0000224B0000}"/>
    <cellStyle name="SAPBEXstdData 74" xfId="18965" xr:uid="{00000000-0005-0000-0000-0000234B0000}"/>
    <cellStyle name="SAPBEXstdData 75" xfId="18966" xr:uid="{00000000-0005-0000-0000-0000244B0000}"/>
    <cellStyle name="SAPBEXstdData 76" xfId="18967" xr:uid="{00000000-0005-0000-0000-0000254B0000}"/>
    <cellStyle name="SAPBEXstdData 77" xfId="18968" xr:uid="{00000000-0005-0000-0000-0000264B0000}"/>
    <cellStyle name="SAPBEXstdData 78" xfId="18969" xr:uid="{00000000-0005-0000-0000-0000274B0000}"/>
    <cellStyle name="SAPBEXstdData 79" xfId="18970" xr:uid="{00000000-0005-0000-0000-0000284B0000}"/>
    <cellStyle name="SAPBEXstdData 8" xfId="18971" xr:uid="{00000000-0005-0000-0000-0000294B0000}"/>
    <cellStyle name="SAPBEXstdData 8 2" xfId="18972" xr:uid="{00000000-0005-0000-0000-00002A4B0000}"/>
    <cellStyle name="SAPBEXstdData 8 3" xfId="18973" xr:uid="{00000000-0005-0000-0000-00002B4B0000}"/>
    <cellStyle name="SAPBEXstdData 8 4" xfId="18974" xr:uid="{00000000-0005-0000-0000-00002C4B0000}"/>
    <cellStyle name="SAPBEXstdData 8 5" xfId="18975" xr:uid="{00000000-0005-0000-0000-00002D4B0000}"/>
    <cellStyle name="SAPBEXstdData 8 6" xfId="18976" xr:uid="{00000000-0005-0000-0000-00002E4B0000}"/>
    <cellStyle name="SAPBEXstdData 80" xfId="18977" xr:uid="{00000000-0005-0000-0000-00002F4B0000}"/>
    <cellStyle name="SAPBEXstdData 81" xfId="18978" xr:uid="{00000000-0005-0000-0000-0000304B0000}"/>
    <cellStyle name="SAPBEXstdData 82" xfId="18979" xr:uid="{00000000-0005-0000-0000-0000314B0000}"/>
    <cellStyle name="SAPBEXstdData 83" xfId="18980" xr:uid="{00000000-0005-0000-0000-0000324B0000}"/>
    <cellStyle name="SAPBEXstdData 84" xfId="18981" xr:uid="{00000000-0005-0000-0000-0000334B0000}"/>
    <cellStyle name="SAPBEXstdData 85" xfId="18982" xr:uid="{00000000-0005-0000-0000-0000344B0000}"/>
    <cellStyle name="SAPBEXstdData 86" xfId="18983" xr:uid="{00000000-0005-0000-0000-0000354B0000}"/>
    <cellStyle name="SAPBEXstdData 87" xfId="18984" xr:uid="{00000000-0005-0000-0000-0000364B0000}"/>
    <cellStyle name="SAPBEXstdData 88" xfId="18985" xr:uid="{00000000-0005-0000-0000-0000374B0000}"/>
    <cellStyle name="SAPBEXstdData 89" xfId="18986" xr:uid="{00000000-0005-0000-0000-0000384B0000}"/>
    <cellStyle name="SAPBEXstdData 9" xfId="18987" xr:uid="{00000000-0005-0000-0000-0000394B0000}"/>
    <cellStyle name="SAPBEXstdData 9 2" xfId="18988" xr:uid="{00000000-0005-0000-0000-00003A4B0000}"/>
    <cellStyle name="SAPBEXstdData 9 3" xfId="18989" xr:uid="{00000000-0005-0000-0000-00003B4B0000}"/>
    <cellStyle name="SAPBEXstdData 9 4" xfId="18990" xr:uid="{00000000-0005-0000-0000-00003C4B0000}"/>
    <cellStyle name="SAPBEXstdData 9 5" xfId="18991" xr:uid="{00000000-0005-0000-0000-00003D4B0000}"/>
    <cellStyle name="SAPBEXstdData 9 6" xfId="18992" xr:uid="{00000000-0005-0000-0000-00003E4B0000}"/>
    <cellStyle name="SAPBEXstdData 90" xfId="18993" xr:uid="{00000000-0005-0000-0000-00003F4B0000}"/>
    <cellStyle name="SAPBEXstdData 91" xfId="18994" xr:uid="{00000000-0005-0000-0000-0000404B0000}"/>
    <cellStyle name="SAPBEXstdData 92" xfId="18995" xr:uid="{00000000-0005-0000-0000-0000414B0000}"/>
    <cellStyle name="SAPBEXstdData 93" xfId="18996" xr:uid="{00000000-0005-0000-0000-0000424B0000}"/>
    <cellStyle name="SAPBEXstdData 94" xfId="18997" xr:uid="{00000000-0005-0000-0000-0000434B0000}"/>
    <cellStyle name="SAPBEXstdData 95" xfId="18998" xr:uid="{00000000-0005-0000-0000-0000444B0000}"/>
    <cellStyle name="SAPBEXstdData 96" xfId="18999" xr:uid="{00000000-0005-0000-0000-0000454B0000}"/>
    <cellStyle name="SAPBEXstdData 97" xfId="19000" xr:uid="{00000000-0005-0000-0000-0000464B0000}"/>
    <cellStyle name="SAPBEXstdData 98" xfId="19001" xr:uid="{00000000-0005-0000-0000-0000474B0000}"/>
    <cellStyle name="SAPBEXstdData 99" xfId="19002" xr:uid="{00000000-0005-0000-0000-0000484B0000}"/>
    <cellStyle name="SAPBEXstdData_2009 12 09 Cash flow (2009)" xfId="19003" xr:uid="{00000000-0005-0000-0000-0000494B0000}"/>
    <cellStyle name="SAPBEXstdDataEmph" xfId="19004" xr:uid="{00000000-0005-0000-0000-00004A4B0000}"/>
    <cellStyle name="SAPBEXstdDataEmph 10" xfId="19005" xr:uid="{00000000-0005-0000-0000-00004B4B0000}"/>
    <cellStyle name="SAPBEXstdDataEmph 10 2" xfId="19006" xr:uid="{00000000-0005-0000-0000-00004C4B0000}"/>
    <cellStyle name="SAPBEXstdDataEmph 10 3" xfId="19007" xr:uid="{00000000-0005-0000-0000-00004D4B0000}"/>
    <cellStyle name="SAPBEXstdDataEmph 10 4" xfId="19008" xr:uid="{00000000-0005-0000-0000-00004E4B0000}"/>
    <cellStyle name="SAPBEXstdDataEmph 10 5" xfId="19009" xr:uid="{00000000-0005-0000-0000-00004F4B0000}"/>
    <cellStyle name="SAPBEXstdDataEmph 10 6" xfId="19010" xr:uid="{00000000-0005-0000-0000-0000504B0000}"/>
    <cellStyle name="SAPBEXstdDataEmph 100" xfId="19011" xr:uid="{00000000-0005-0000-0000-0000514B0000}"/>
    <cellStyle name="SAPBEXstdDataEmph 101" xfId="19012" xr:uid="{00000000-0005-0000-0000-0000524B0000}"/>
    <cellStyle name="SAPBEXstdDataEmph 102" xfId="19013" xr:uid="{00000000-0005-0000-0000-0000534B0000}"/>
    <cellStyle name="SAPBEXstdDataEmph 103" xfId="19014" xr:uid="{00000000-0005-0000-0000-0000544B0000}"/>
    <cellStyle name="SAPBEXstdDataEmph 104" xfId="19015" xr:uid="{00000000-0005-0000-0000-0000554B0000}"/>
    <cellStyle name="SAPBEXstdDataEmph 105" xfId="19016" xr:uid="{00000000-0005-0000-0000-0000564B0000}"/>
    <cellStyle name="SAPBEXstdDataEmph 106" xfId="19017" xr:uid="{00000000-0005-0000-0000-0000574B0000}"/>
    <cellStyle name="SAPBEXstdDataEmph 107" xfId="19018" xr:uid="{00000000-0005-0000-0000-0000584B0000}"/>
    <cellStyle name="SAPBEXstdDataEmph 108" xfId="19019" xr:uid="{00000000-0005-0000-0000-0000594B0000}"/>
    <cellStyle name="SAPBEXstdDataEmph 109" xfId="19020" xr:uid="{00000000-0005-0000-0000-00005A4B0000}"/>
    <cellStyle name="SAPBEXstdDataEmph 11" xfId="19021" xr:uid="{00000000-0005-0000-0000-00005B4B0000}"/>
    <cellStyle name="SAPBEXstdDataEmph 11 2" xfId="19022" xr:uid="{00000000-0005-0000-0000-00005C4B0000}"/>
    <cellStyle name="SAPBEXstdDataEmph 11 3" xfId="19023" xr:uid="{00000000-0005-0000-0000-00005D4B0000}"/>
    <cellStyle name="SAPBEXstdDataEmph 11 4" xfId="19024" xr:uid="{00000000-0005-0000-0000-00005E4B0000}"/>
    <cellStyle name="SAPBEXstdDataEmph 11 5" xfId="19025" xr:uid="{00000000-0005-0000-0000-00005F4B0000}"/>
    <cellStyle name="SAPBEXstdDataEmph 11 6" xfId="19026" xr:uid="{00000000-0005-0000-0000-0000604B0000}"/>
    <cellStyle name="SAPBEXstdDataEmph 110" xfId="19027" xr:uid="{00000000-0005-0000-0000-0000614B0000}"/>
    <cellStyle name="SAPBEXstdDataEmph 111" xfId="19028" xr:uid="{00000000-0005-0000-0000-0000624B0000}"/>
    <cellStyle name="SAPBEXstdDataEmph 112" xfId="19029" xr:uid="{00000000-0005-0000-0000-0000634B0000}"/>
    <cellStyle name="SAPBEXstdDataEmph 113" xfId="19030" xr:uid="{00000000-0005-0000-0000-0000644B0000}"/>
    <cellStyle name="SAPBEXstdDataEmph 114" xfId="19031" xr:uid="{00000000-0005-0000-0000-0000654B0000}"/>
    <cellStyle name="SAPBEXstdDataEmph 115" xfId="19032" xr:uid="{00000000-0005-0000-0000-0000664B0000}"/>
    <cellStyle name="SAPBEXstdDataEmph 116" xfId="19033" xr:uid="{00000000-0005-0000-0000-0000674B0000}"/>
    <cellStyle name="SAPBEXstdDataEmph 117" xfId="19034" xr:uid="{00000000-0005-0000-0000-0000684B0000}"/>
    <cellStyle name="SAPBEXstdDataEmph 118" xfId="19035" xr:uid="{00000000-0005-0000-0000-0000694B0000}"/>
    <cellStyle name="SAPBEXstdDataEmph 119" xfId="19036" xr:uid="{00000000-0005-0000-0000-00006A4B0000}"/>
    <cellStyle name="SAPBEXstdDataEmph 12" xfId="19037" xr:uid="{00000000-0005-0000-0000-00006B4B0000}"/>
    <cellStyle name="SAPBEXstdDataEmph 12 2" xfId="19038" xr:uid="{00000000-0005-0000-0000-00006C4B0000}"/>
    <cellStyle name="SAPBEXstdDataEmph 12 3" xfId="19039" xr:uid="{00000000-0005-0000-0000-00006D4B0000}"/>
    <cellStyle name="SAPBEXstdDataEmph 12 4" xfId="19040" xr:uid="{00000000-0005-0000-0000-00006E4B0000}"/>
    <cellStyle name="SAPBEXstdDataEmph 12 5" xfId="19041" xr:uid="{00000000-0005-0000-0000-00006F4B0000}"/>
    <cellStyle name="SAPBEXstdDataEmph 12 6" xfId="19042" xr:uid="{00000000-0005-0000-0000-0000704B0000}"/>
    <cellStyle name="SAPBEXstdDataEmph 120" xfId="19043" xr:uid="{00000000-0005-0000-0000-0000714B0000}"/>
    <cellStyle name="SAPBEXstdDataEmph 121" xfId="19044" xr:uid="{00000000-0005-0000-0000-0000724B0000}"/>
    <cellStyle name="SAPBEXstdDataEmph 122" xfId="19045" xr:uid="{00000000-0005-0000-0000-0000734B0000}"/>
    <cellStyle name="SAPBEXstdDataEmph 123" xfId="19046" xr:uid="{00000000-0005-0000-0000-0000744B0000}"/>
    <cellStyle name="SAPBEXstdDataEmph 124" xfId="19047" xr:uid="{00000000-0005-0000-0000-0000754B0000}"/>
    <cellStyle name="SAPBEXstdDataEmph 125" xfId="19048" xr:uid="{00000000-0005-0000-0000-0000764B0000}"/>
    <cellStyle name="SAPBEXstdDataEmph 126" xfId="19049" xr:uid="{00000000-0005-0000-0000-0000774B0000}"/>
    <cellStyle name="SAPBEXstdDataEmph 127" xfId="19050" xr:uid="{00000000-0005-0000-0000-0000784B0000}"/>
    <cellStyle name="SAPBEXstdDataEmph 128" xfId="19051" xr:uid="{00000000-0005-0000-0000-0000794B0000}"/>
    <cellStyle name="SAPBEXstdDataEmph 129" xfId="19052" xr:uid="{00000000-0005-0000-0000-00007A4B0000}"/>
    <cellStyle name="SAPBEXstdDataEmph 13" xfId="19053" xr:uid="{00000000-0005-0000-0000-00007B4B0000}"/>
    <cellStyle name="SAPBEXstdDataEmph 13 2" xfId="19054" xr:uid="{00000000-0005-0000-0000-00007C4B0000}"/>
    <cellStyle name="SAPBEXstdDataEmph 13 3" xfId="19055" xr:uid="{00000000-0005-0000-0000-00007D4B0000}"/>
    <cellStyle name="SAPBEXstdDataEmph 13 4" xfId="19056" xr:uid="{00000000-0005-0000-0000-00007E4B0000}"/>
    <cellStyle name="SAPBEXstdDataEmph 13 5" xfId="19057" xr:uid="{00000000-0005-0000-0000-00007F4B0000}"/>
    <cellStyle name="SAPBEXstdDataEmph 13 6" xfId="19058" xr:uid="{00000000-0005-0000-0000-0000804B0000}"/>
    <cellStyle name="SAPBEXstdDataEmph 130" xfId="19059" xr:uid="{00000000-0005-0000-0000-0000814B0000}"/>
    <cellStyle name="SAPBEXstdDataEmph 131" xfId="19060" xr:uid="{00000000-0005-0000-0000-0000824B0000}"/>
    <cellStyle name="SAPBEXstdDataEmph 132" xfId="19061" xr:uid="{00000000-0005-0000-0000-0000834B0000}"/>
    <cellStyle name="SAPBEXstdDataEmph 133" xfId="19062" xr:uid="{00000000-0005-0000-0000-0000844B0000}"/>
    <cellStyle name="SAPBEXstdDataEmph 134" xfId="19063" xr:uid="{00000000-0005-0000-0000-0000854B0000}"/>
    <cellStyle name="SAPBEXstdDataEmph 135" xfId="19064" xr:uid="{00000000-0005-0000-0000-0000864B0000}"/>
    <cellStyle name="SAPBEXstdDataEmph 136" xfId="19065" xr:uid="{00000000-0005-0000-0000-0000874B0000}"/>
    <cellStyle name="SAPBEXstdDataEmph 137" xfId="19066" xr:uid="{00000000-0005-0000-0000-0000884B0000}"/>
    <cellStyle name="SAPBEXstdDataEmph 138" xfId="19067" xr:uid="{00000000-0005-0000-0000-0000894B0000}"/>
    <cellStyle name="SAPBEXstdDataEmph 139" xfId="19068" xr:uid="{00000000-0005-0000-0000-00008A4B0000}"/>
    <cellStyle name="SAPBEXstdDataEmph 14" xfId="19069" xr:uid="{00000000-0005-0000-0000-00008B4B0000}"/>
    <cellStyle name="SAPBEXstdDataEmph 14 2" xfId="19070" xr:uid="{00000000-0005-0000-0000-00008C4B0000}"/>
    <cellStyle name="SAPBEXstdDataEmph 14 3" xfId="19071" xr:uid="{00000000-0005-0000-0000-00008D4B0000}"/>
    <cellStyle name="SAPBEXstdDataEmph 14 4" xfId="19072" xr:uid="{00000000-0005-0000-0000-00008E4B0000}"/>
    <cellStyle name="SAPBEXstdDataEmph 14 5" xfId="19073" xr:uid="{00000000-0005-0000-0000-00008F4B0000}"/>
    <cellStyle name="SAPBEXstdDataEmph 14 6" xfId="19074" xr:uid="{00000000-0005-0000-0000-0000904B0000}"/>
    <cellStyle name="SAPBEXstdDataEmph 140" xfId="19075" xr:uid="{00000000-0005-0000-0000-0000914B0000}"/>
    <cellStyle name="SAPBEXstdDataEmph 141" xfId="19076" xr:uid="{00000000-0005-0000-0000-0000924B0000}"/>
    <cellStyle name="SAPBEXstdDataEmph 142" xfId="19077" xr:uid="{00000000-0005-0000-0000-0000934B0000}"/>
    <cellStyle name="SAPBEXstdDataEmph 143" xfId="19078" xr:uid="{00000000-0005-0000-0000-0000944B0000}"/>
    <cellStyle name="SAPBEXstdDataEmph 144" xfId="19079" xr:uid="{00000000-0005-0000-0000-0000954B0000}"/>
    <cellStyle name="SAPBEXstdDataEmph 145" xfId="19080" xr:uid="{00000000-0005-0000-0000-0000964B0000}"/>
    <cellStyle name="SAPBEXstdDataEmph 146" xfId="19081" xr:uid="{00000000-0005-0000-0000-0000974B0000}"/>
    <cellStyle name="SAPBEXstdDataEmph 147" xfId="19082" xr:uid="{00000000-0005-0000-0000-0000984B0000}"/>
    <cellStyle name="SAPBEXstdDataEmph 148" xfId="19083" xr:uid="{00000000-0005-0000-0000-0000994B0000}"/>
    <cellStyle name="SAPBEXstdDataEmph 149" xfId="19084" xr:uid="{00000000-0005-0000-0000-00009A4B0000}"/>
    <cellStyle name="SAPBEXstdDataEmph 15" xfId="19085" xr:uid="{00000000-0005-0000-0000-00009B4B0000}"/>
    <cellStyle name="SAPBEXstdDataEmph 15 2" xfId="19086" xr:uid="{00000000-0005-0000-0000-00009C4B0000}"/>
    <cellStyle name="SAPBEXstdDataEmph 15 3" xfId="19087" xr:uid="{00000000-0005-0000-0000-00009D4B0000}"/>
    <cellStyle name="SAPBEXstdDataEmph 15 4" xfId="19088" xr:uid="{00000000-0005-0000-0000-00009E4B0000}"/>
    <cellStyle name="SAPBEXstdDataEmph 15 5" xfId="19089" xr:uid="{00000000-0005-0000-0000-00009F4B0000}"/>
    <cellStyle name="SAPBEXstdDataEmph 15 6" xfId="19090" xr:uid="{00000000-0005-0000-0000-0000A04B0000}"/>
    <cellStyle name="SAPBEXstdDataEmph 150" xfId="19091" xr:uid="{00000000-0005-0000-0000-0000A14B0000}"/>
    <cellStyle name="SAPBEXstdDataEmph 151" xfId="19092" xr:uid="{00000000-0005-0000-0000-0000A24B0000}"/>
    <cellStyle name="SAPBEXstdDataEmph 152" xfId="19093" xr:uid="{00000000-0005-0000-0000-0000A34B0000}"/>
    <cellStyle name="SAPBEXstdDataEmph 153" xfId="19094" xr:uid="{00000000-0005-0000-0000-0000A44B0000}"/>
    <cellStyle name="SAPBEXstdDataEmph 154" xfId="19095" xr:uid="{00000000-0005-0000-0000-0000A54B0000}"/>
    <cellStyle name="SAPBEXstdDataEmph 155" xfId="19096" xr:uid="{00000000-0005-0000-0000-0000A64B0000}"/>
    <cellStyle name="SAPBEXstdDataEmph 156" xfId="19097" xr:uid="{00000000-0005-0000-0000-0000A74B0000}"/>
    <cellStyle name="SAPBEXstdDataEmph 157" xfId="19098" xr:uid="{00000000-0005-0000-0000-0000A84B0000}"/>
    <cellStyle name="SAPBEXstdDataEmph 158" xfId="19099" xr:uid="{00000000-0005-0000-0000-0000A94B0000}"/>
    <cellStyle name="SAPBEXstdDataEmph 159" xfId="19100" xr:uid="{00000000-0005-0000-0000-0000AA4B0000}"/>
    <cellStyle name="SAPBEXstdDataEmph 16" xfId="19101" xr:uid="{00000000-0005-0000-0000-0000AB4B0000}"/>
    <cellStyle name="SAPBEXstdDataEmph 16 2" xfId="19102" xr:uid="{00000000-0005-0000-0000-0000AC4B0000}"/>
    <cellStyle name="SAPBEXstdDataEmph 16 3" xfId="19103" xr:uid="{00000000-0005-0000-0000-0000AD4B0000}"/>
    <cellStyle name="SAPBEXstdDataEmph 16 4" xfId="19104" xr:uid="{00000000-0005-0000-0000-0000AE4B0000}"/>
    <cellStyle name="SAPBEXstdDataEmph 16 5" xfId="19105" xr:uid="{00000000-0005-0000-0000-0000AF4B0000}"/>
    <cellStyle name="SAPBEXstdDataEmph 16 6" xfId="19106" xr:uid="{00000000-0005-0000-0000-0000B04B0000}"/>
    <cellStyle name="SAPBEXstdDataEmph 160" xfId="19107" xr:uid="{00000000-0005-0000-0000-0000B14B0000}"/>
    <cellStyle name="SAPBEXstdDataEmph 161" xfId="19108" xr:uid="{00000000-0005-0000-0000-0000B24B0000}"/>
    <cellStyle name="SAPBEXstdDataEmph 162" xfId="19109" xr:uid="{00000000-0005-0000-0000-0000B34B0000}"/>
    <cellStyle name="SAPBEXstdDataEmph 163" xfId="19110" xr:uid="{00000000-0005-0000-0000-0000B44B0000}"/>
    <cellStyle name="SAPBEXstdDataEmph 164" xfId="19111" xr:uid="{00000000-0005-0000-0000-0000B54B0000}"/>
    <cellStyle name="SAPBEXstdDataEmph 165" xfId="19112" xr:uid="{00000000-0005-0000-0000-0000B64B0000}"/>
    <cellStyle name="SAPBEXstdDataEmph 166" xfId="19113" xr:uid="{00000000-0005-0000-0000-0000B74B0000}"/>
    <cellStyle name="SAPBEXstdDataEmph 167" xfId="19114" xr:uid="{00000000-0005-0000-0000-0000B84B0000}"/>
    <cellStyle name="SAPBEXstdDataEmph 168" xfId="19115" xr:uid="{00000000-0005-0000-0000-0000B94B0000}"/>
    <cellStyle name="SAPBEXstdDataEmph 169" xfId="19116" xr:uid="{00000000-0005-0000-0000-0000BA4B0000}"/>
    <cellStyle name="SAPBEXstdDataEmph 17" xfId="19117" xr:uid="{00000000-0005-0000-0000-0000BB4B0000}"/>
    <cellStyle name="SAPBEXstdDataEmph 17 2" xfId="19118" xr:uid="{00000000-0005-0000-0000-0000BC4B0000}"/>
    <cellStyle name="SAPBEXstdDataEmph 17 3" xfId="19119" xr:uid="{00000000-0005-0000-0000-0000BD4B0000}"/>
    <cellStyle name="SAPBEXstdDataEmph 17 4" xfId="19120" xr:uid="{00000000-0005-0000-0000-0000BE4B0000}"/>
    <cellStyle name="SAPBEXstdDataEmph 17 5" xfId="19121" xr:uid="{00000000-0005-0000-0000-0000BF4B0000}"/>
    <cellStyle name="SAPBEXstdDataEmph 17 6" xfId="19122" xr:uid="{00000000-0005-0000-0000-0000C04B0000}"/>
    <cellStyle name="SAPBEXstdDataEmph 170" xfId="19123" xr:uid="{00000000-0005-0000-0000-0000C14B0000}"/>
    <cellStyle name="SAPBEXstdDataEmph 171" xfId="19124" xr:uid="{00000000-0005-0000-0000-0000C24B0000}"/>
    <cellStyle name="SAPBEXstdDataEmph 172" xfId="19125" xr:uid="{00000000-0005-0000-0000-0000C34B0000}"/>
    <cellStyle name="SAPBEXstdDataEmph 173" xfId="27801" xr:uid="{00000000-0005-0000-0000-0000C44B0000}"/>
    <cellStyle name="SAPBEXstdDataEmph 174" xfId="27936" xr:uid="{00000000-0005-0000-0000-0000C54B0000}"/>
    <cellStyle name="SAPBEXstdDataEmph 175" xfId="27987" xr:uid="{00000000-0005-0000-0000-0000C64B0000}"/>
    <cellStyle name="SAPBEXstdDataEmph 176" xfId="28035" xr:uid="{00000000-0005-0000-0000-0000C74B0000}"/>
    <cellStyle name="SAPBEXstdDataEmph 177" xfId="28168" xr:uid="{00000000-0005-0000-0000-0000C84B0000}"/>
    <cellStyle name="SAPBEXstdDataEmph 18" xfId="19126" xr:uid="{00000000-0005-0000-0000-0000C94B0000}"/>
    <cellStyle name="SAPBEXstdDataEmph 18 2" xfId="19127" xr:uid="{00000000-0005-0000-0000-0000CA4B0000}"/>
    <cellStyle name="SAPBEXstdDataEmph 18 3" xfId="19128" xr:uid="{00000000-0005-0000-0000-0000CB4B0000}"/>
    <cellStyle name="SAPBEXstdDataEmph 18 4" xfId="19129" xr:uid="{00000000-0005-0000-0000-0000CC4B0000}"/>
    <cellStyle name="SAPBEXstdDataEmph 18 5" xfId="19130" xr:uid="{00000000-0005-0000-0000-0000CD4B0000}"/>
    <cellStyle name="SAPBEXstdDataEmph 18 6" xfId="19131" xr:uid="{00000000-0005-0000-0000-0000CE4B0000}"/>
    <cellStyle name="SAPBEXstdDataEmph 19" xfId="19132" xr:uid="{00000000-0005-0000-0000-0000CF4B0000}"/>
    <cellStyle name="SAPBEXstdDataEmph 19 2" xfId="19133" xr:uid="{00000000-0005-0000-0000-0000D04B0000}"/>
    <cellStyle name="SAPBEXstdDataEmph 19 3" xfId="19134" xr:uid="{00000000-0005-0000-0000-0000D14B0000}"/>
    <cellStyle name="SAPBEXstdDataEmph 19 4" xfId="19135" xr:uid="{00000000-0005-0000-0000-0000D24B0000}"/>
    <cellStyle name="SAPBEXstdDataEmph 19 5" xfId="19136" xr:uid="{00000000-0005-0000-0000-0000D34B0000}"/>
    <cellStyle name="SAPBEXstdDataEmph 19 6" xfId="19137" xr:uid="{00000000-0005-0000-0000-0000D44B0000}"/>
    <cellStyle name="SAPBEXstdDataEmph 2" xfId="19138" xr:uid="{00000000-0005-0000-0000-0000D54B0000}"/>
    <cellStyle name="SAPBEXstdDataEmph 2 10" xfId="19139" xr:uid="{00000000-0005-0000-0000-0000D64B0000}"/>
    <cellStyle name="SAPBEXstdDataEmph 2 10 2" xfId="19140" xr:uid="{00000000-0005-0000-0000-0000D74B0000}"/>
    <cellStyle name="SAPBEXstdDataEmph 2 10 3" xfId="19141" xr:uid="{00000000-0005-0000-0000-0000D84B0000}"/>
    <cellStyle name="SAPBEXstdDataEmph 2 10 4" xfId="19142" xr:uid="{00000000-0005-0000-0000-0000D94B0000}"/>
    <cellStyle name="SAPBEXstdDataEmph 2 11" xfId="19143" xr:uid="{00000000-0005-0000-0000-0000DA4B0000}"/>
    <cellStyle name="SAPBEXstdDataEmph 2 11 2" xfId="19144" xr:uid="{00000000-0005-0000-0000-0000DB4B0000}"/>
    <cellStyle name="SAPBEXstdDataEmph 2 11 3" xfId="19145" xr:uid="{00000000-0005-0000-0000-0000DC4B0000}"/>
    <cellStyle name="SAPBEXstdDataEmph 2 11 4" xfId="19146" xr:uid="{00000000-0005-0000-0000-0000DD4B0000}"/>
    <cellStyle name="SAPBEXstdDataEmph 2 12" xfId="19147" xr:uid="{00000000-0005-0000-0000-0000DE4B0000}"/>
    <cellStyle name="SAPBEXstdDataEmph 2 12 2" xfId="19148" xr:uid="{00000000-0005-0000-0000-0000DF4B0000}"/>
    <cellStyle name="SAPBEXstdDataEmph 2 12 3" xfId="19149" xr:uid="{00000000-0005-0000-0000-0000E04B0000}"/>
    <cellStyle name="SAPBEXstdDataEmph 2 12 4" xfId="19150" xr:uid="{00000000-0005-0000-0000-0000E14B0000}"/>
    <cellStyle name="SAPBEXstdDataEmph 2 13" xfId="19151" xr:uid="{00000000-0005-0000-0000-0000E24B0000}"/>
    <cellStyle name="SAPBEXstdDataEmph 2 13 2" xfId="19152" xr:uid="{00000000-0005-0000-0000-0000E34B0000}"/>
    <cellStyle name="SAPBEXstdDataEmph 2 13 3" xfId="19153" xr:uid="{00000000-0005-0000-0000-0000E44B0000}"/>
    <cellStyle name="SAPBEXstdDataEmph 2 13 4" xfId="19154" xr:uid="{00000000-0005-0000-0000-0000E54B0000}"/>
    <cellStyle name="SAPBEXstdDataEmph 2 14" xfId="19155" xr:uid="{00000000-0005-0000-0000-0000E64B0000}"/>
    <cellStyle name="SAPBEXstdDataEmph 2 15" xfId="19156" xr:uid="{00000000-0005-0000-0000-0000E74B0000}"/>
    <cellStyle name="SAPBEXstdDataEmph 2 16" xfId="19157" xr:uid="{00000000-0005-0000-0000-0000E84B0000}"/>
    <cellStyle name="SAPBEXstdDataEmph 2 17" xfId="19158" xr:uid="{00000000-0005-0000-0000-0000E94B0000}"/>
    <cellStyle name="SAPBEXstdDataEmph 2 18" xfId="19159" xr:uid="{00000000-0005-0000-0000-0000EA4B0000}"/>
    <cellStyle name="SAPBEXstdDataEmph 2 2" xfId="19160" xr:uid="{00000000-0005-0000-0000-0000EB4B0000}"/>
    <cellStyle name="SAPBEXstdDataEmph 2 2 2" xfId="19161" xr:uid="{00000000-0005-0000-0000-0000EC4B0000}"/>
    <cellStyle name="SAPBEXstdDataEmph 2 2 2 2" xfId="19162" xr:uid="{00000000-0005-0000-0000-0000ED4B0000}"/>
    <cellStyle name="SAPBEXstdDataEmph 2 2 2 3" xfId="19163" xr:uid="{00000000-0005-0000-0000-0000EE4B0000}"/>
    <cellStyle name="SAPBEXstdDataEmph 2 2 2 4" xfId="19164" xr:uid="{00000000-0005-0000-0000-0000EF4B0000}"/>
    <cellStyle name="SAPBEXstdDataEmph 2 2 2 5" xfId="19165" xr:uid="{00000000-0005-0000-0000-0000F04B0000}"/>
    <cellStyle name="SAPBEXstdDataEmph 2 2 2 6" xfId="19166" xr:uid="{00000000-0005-0000-0000-0000F14B0000}"/>
    <cellStyle name="SAPBEXstdDataEmph 2 2 3" xfId="19167" xr:uid="{00000000-0005-0000-0000-0000F24B0000}"/>
    <cellStyle name="SAPBEXstdDataEmph 2 2 3 2" xfId="19168" xr:uid="{00000000-0005-0000-0000-0000F34B0000}"/>
    <cellStyle name="SAPBEXstdDataEmph 2 2 3 3" xfId="19169" xr:uid="{00000000-0005-0000-0000-0000F44B0000}"/>
    <cellStyle name="SAPBEXstdDataEmph 2 2 3 4" xfId="19170" xr:uid="{00000000-0005-0000-0000-0000F54B0000}"/>
    <cellStyle name="SAPBEXstdDataEmph 2 2 3 5" xfId="19171" xr:uid="{00000000-0005-0000-0000-0000F64B0000}"/>
    <cellStyle name="SAPBEXstdDataEmph 2 2 3 6" xfId="19172" xr:uid="{00000000-0005-0000-0000-0000F74B0000}"/>
    <cellStyle name="SAPBEXstdDataEmph 2 2 4" xfId="19173" xr:uid="{00000000-0005-0000-0000-0000F84B0000}"/>
    <cellStyle name="SAPBEXstdDataEmph 2 2 4 2" xfId="19174" xr:uid="{00000000-0005-0000-0000-0000F94B0000}"/>
    <cellStyle name="SAPBEXstdDataEmph 2 2 4 3" xfId="19175" xr:uid="{00000000-0005-0000-0000-0000FA4B0000}"/>
    <cellStyle name="SAPBEXstdDataEmph 2 2 4 4" xfId="19176" xr:uid="{00000000-0005-0000-0000-0000FB4B0000}"/>
    <cellStyle name="SAPBEXstdDataEmph 2 2 4 5" xfId="19177" xr:uid="{00000000-0005-0000-0000-0000FC4B0000}"/>
    <cellStyle name="SAPBEXstdDataEmph 2 2 4 6" xfId="19178" xr:uid="{00000000-0005-0000-0000-0000FD4B0000}"/>
    <cellStyle name="SAPBEXstdDataEmph 2 2 5" xfId="19179" xr:uid="{00000000-0005-0000-0000-0000FE4B0000}"/>
    <cellStyle name="SAPBEXstdDataEmph 2 2 5 2" xfId="19180" xr:uid="{00000000-0005-0000-0000-0000FF4B0000}"/>
    <cellStyle name="SAPBEXstdDataEmph 2 2 5 3" xfId="19181" xr:uid="{00000000-0005-0000-0000-0000004C0000}"/>
    <cellStyle name="SAPBEXstdDataEmph 2 2 5 4" xfId="19182" xr:uid="{00000000-0005-0000-0000-0000014C0000}"/>
    <cellStyle name="SAPBEXstdDataEmph 2 2 5 5" xfId="19183" xr:uid="{00000000-0005-0000-0000-0000024C0000}"/>
    <cellStyle name="SAPBEXstdDataEmph 2 2 5 6" xfId="19184" xr:uid="{00000000-0005-0000-0000-0000034C0000}"/>
    <cellStyle name="SAPBEXstdDataEmph 2 2 6" xfId="19185" xr:uid="{00000000-0005-0000-0000-0000044C0000}"/>
    <cellStyle name="SAPBEXstdDataEmph 2 2 7" xfId="19186" xr:uid="{00000000-0005-0000-0000-0000054C0000}"/>
    <cellStyle name="SAPBEXstdDataEmph 2 2 8" xfId="19187" xr:uid="{00000000-0005-0000-0000-0000064C0000}"/>
    <cellStyle name="SAPBEXstdDataEmph 2 3" xfId="19188" xr:uid="{00000000-0005-0000-0000-0000074C0000}"/>
    <cellStyle name="SAPBEXstdDataEmph 2 3 2" xfId="19189" xr:uid="{00000000-0005-0000-0000-0000084C0000}"/>
    <cellStyle name="SAPBEXstdDataEmph 2 3 2 2" xfId="19190" xr:uid="{00000000-0005-0000-0000-0000094C0000}"/>
    <cellStyle name="SAPBEXstdDataEmph 2 3 2 3" xfId="19191" xr:uid="{00000000-0005-0000-0000-00000A4C0000}"/>
    <cellStyle name="SAPBEXstdDataEmph 2 3 2 4" xfId="19192" xr:uid="{00000000-0005-0000-0000-00000B4C0000}"/>
    <cellStyle name="SAPBEXstdDataEmph 2 3 2 5" xfId="19193" xr:uid="{00000000-0005-0000-0000-00000C4C0000}"/>
    <cellStyle name="SAPBEXstdDataEmph 2 3 2 6" xfId="19194" xr:uid="{00000000-0005-0000-0000-00000D4C0000}"/>
    <cellStyle name="SAPBEXstdDataEmph 2 3 3" xfId="19195" xr:uid="{00000000-0005-0000-0000-00000E4C0000}"/>
    <cellStyle name="SAPBEXstdDataEmph 2 3 3 2" xfId="19196" xr:uid="{00000000-0005-0000-0000-00000F4C0000}"/>
    <cellStyle name="SAPBEXstdDataEmph 2 3 3 3" xfId="19197" xr:uid="{00000000-0005-0000-0000-0000104C0000}"/>
    <cellStyle name="SAPBEXstdDataEmph 2 3 3 4" xfId="19198" xr:uid="{00000000-0005-0000-0000-0000114C0000}"/>
    <cellStyle name="SAPBEXstdDataEmph 2 3 3 5" xfId="19199" xr:uid="{00000000-0005-0000-0000-0000124C0000}"/>
    <cellStyle name="SAPBEXstdDataEmph 2 3 3 6" xfId="19200" xr:uid="{00000000-0005-0000-0000-0000134C0000}"/>
    <cellStyle name="SAPBEXstdDataEmph 2 3 4" xfId="19201" xr:uid="{00000000-0005-0000-0000-0000144C0000}"/>
    <cellStyle name="SAPBEXstdDataEmph 2 3 4 2" xfId="19202" xr:uid="{00000000-0005-0000-0000-0000154C0000}"/>
    <cellStyle name="SAPBEXstdDataEmph 2 3 4 3" xfId="19203" xr:uid="{00000000-0005-0000-0000-0000164C0000}"/>
    <cellStyle name="SAPBEXstdDataEmph 2 3 4 4" xfId="19204" xr:uid="{00000000-0005-0000-0000-0000174C0000}"/>
    <cellStyle name="SAPBEXstdDataEmph 2 3 4 5" xfId="19205" xr:uid="{00000000-0005-0000-0000-0000184C0000}"/>
    <cellStyle name="SAPBEXstdDataEmph 2 3 4 6" xfId="19206" xr:uid="{00000000-0005-0000-0000-0000194C0000}"/>
    <cellStyle name="SAPBEXstdDataEmph 2 3 5" xfId="19207" xr:uid="{00000000-0005-0000-0000-00001A4C0000}"/>
    <cellStyle name="SAPBEXstdDataEmph 2 3 5 2" xfId="19208" xr:uid="{00000000-0005-0000-0000-00001B4C0000}"/>
    <cellStyle name="SAPBEXstdDataEmph 2 3 5 3" xfId="19209" xr:uid="{00000000-0005-0000-0000-00001C4C0000}"/>
    <cellStyle name="SAPBEXstdDataEmph 2 3 5 4" xfId="19210" xr:uid="{00000000-0005-0000-0000-00001D4C0000}"/>
    <cellStyle name="SAPBEXstdDataEmph 2 3 5 5" xfId="19211" xr:uid="{00000000-0005-0000-0000-00001E4C0000}"/>
    <cellStyle name="SAPBEXstdDataEmph 2 3 5 6" xfId="19212" xr:uid="{00000000-0005-0000-0000-00001F4C0000}"/>
    <cellStyle name="SAPBEXstdDataEmph 2 3 6" xfId="19213" xr:uid="{00000000-0005-0000-0000-0000204C0000}"/>
    <cellStyle name="SAPBEXstdDataEmph 2 3 7" xfId="19214" xr:uid="{00000000-0005-0000-0000-0000214C0000}"/>
    <cellStyle name="SAPBEXstdDataEmph 2 3 8" xfId="19215" xr:uid="{00000000-0005-0000-0000-0000224C0000}"/>
    <cellStyle name="SAPBEXstdDataEmph 2 4" xfId="19216" xr:uid="{00000000-0005-0000-0000-0000234C0000}"/>
    <cellStyle name="SAPBEXstdDataEmph 2 4 2" xfId="19217" xr:uid="{00000000-0005-0000-0000-0000244C0000}"/>
    <cellStyle name="SAPBEXstdDataEmph 2 4 2 2" xfId="19218" xr:uid="{00000000-0005-0000-0000-0000254C0000}"/>
    <cellStyle name="SAPBEXstdDataEmph 2 4 2 3" xfId="19219" xr:uid="{00000000-0005-0000-0000-0000264C0000}"/>
    <cellStyle name="SAPBEXstdDataEmph 2 4 2 4" xfId="19220" xr:uid="{00000000-0005-0000-0000-0000274C0000}"/>
    <cellStyle name="SAPBEXstdDataEmph 2 4 2 5" xfId="19221" xr:uid="{00000000-0005-0000-0000-0000284C0000}"/>
    <cellStyle name="SAPBEXstdDataEmph 2 4 2 6" xfId="19222" xr:uid="{00000000-0005-0000-0000-0000294C0000}"/>
    <cellStyle name="SAPBEXstdDataEmph 2 4 3" xfId="19223" xr:uid="{00000000-0005-0000-0000-00002A4C0000}"/>
    <cellStyle name="SAPBEXstdDataEmph 2 4 3 2" xfId="19224" xr:uid="{00000000-0005-0000-0000-00002B4C0000}"/>
    <cellStyle name="SAPBEXstdDataEmph 2 4 3 3" xfId="19225" xr:uid="{00000000-0005-0000-0000-00002C4C0000}"/>
    <cellStyle name="SAPBEXstdDataEmph 2 4 3 4" xfId="19226" xr:uid="{00000000-0005-0000-0000-00002D4C0000}"/>
    <cellStyle name="SAPBEXstdDataEmph 2 4 3 5" xfId="19227" xr:uid="{00000000-0005-0000-0000-00002E4C0000}"/>
    <cellStyle name="SAPBEXstdDataEmph 2 4 3 6" xfId="19228" xr:uid="{00000000-0005-0000-0000-00002F4C0000}"/>
    <cellStyle name="SAPBEXstdDataEmph 2 4 4" xfId="19229" xr:uid="{00000000-0005-0000-0000-0000304C0000}"/>
    <cellStyle name="SAPBEXstdDataEmph 2 4 4 2" xfId="19230" xr:uid="{00000000-0005-0000-0000-0000314C0000}"/>
    <cellStyle name="SAPBEXstdDataEmph 2 4 4 3" xfId="19231" xr:uid="{00000000-0005-0000-0000-0000324C0000}"/>
    <cellStyle name="SAPBEXstdDataEmph 2 4 4 4" xfId="19232" xr:uid="{00000000-0005-0000-0000-0000334C0000}"/>
    <cellStyle name="SAPBEXstdDataEmph 2 4 4 5" xfId="19233" xr:uid="{00000000-0005-0000-0000-0000344C0000}"/>
    <cellStyle name="SAPBEXstdDataEmph 2 4 4 6" xfId="19234" xr:uid="{00000000-0005-0000-0000-0000354C0000}"/>
    <cellStyle name="SAPBEXstdDataEmph 2 4 5" xfId="19235" xr:uid="{00000000-0005-0000-0000-0000364C0000}"/>
    <cellStyle name="SAPBEXstdDataEmph 2 4 5 2" xfId="19236" xr:uid="{00000000-0005-0000-0000-0000374C0000}"/>
    <cellStyle name="SAPBEXstdDataEmph 2 4 5 3" xfId="19237" xr:uid="{00000000-0005-0000-0000-0000384C0000}"/>
    <cellStyle name="SAPBEXstdDataEmph 2 4 5 4" xfId="19238" xr:uid="{00000000-0005-0000-0000-0000394C0000}"/>
    <cellStyle name="SAPBEXstdDataEmph 2 4 5 5" xfId="19239" xr:uid="{00000000-0005-0000-0000-00003A4C0000}"/>
    <cellStyle name="SAPBEXstdDataEmph 2 4 5 6" xfId="19240" xr:uid="{00000000-0005-0000-0000-00003B4C0000}"/>
    <cellStyle name="SAPBEXstdDataEmph 2 4 6" xfId="19241" xr:uid="{00000000-0005-0000-0000-00003C4C0000}"/>
    <cellStyle name="SAPBEXstdDataEmph 2 4 7" xfId="19242" xr:uid="{00000000-0005-0000-0000-00003D4C0000}"/>
    <cellStyle name="SAPBEXstdDataEmph 2 4 8" xfId="19243" xr:uid="{00000000-0005-0000-0000-00003E4C0000}"/>
    <cellStyle name="SAPBEXstdDataEmph 2 5" xfId="19244" xr:uid="{00000000-0005-0000-0000-00003F4C0000}"/>
    <cellStyle name="SAPBEXstdDataEmph 2 5 2" xfId="19245" xr:uid="{00000000-0005-0000-0000-0000404C0000}"/>
    <cellStyle name="SAPBEXstdDataEmph 2 5 3" xfId="19246" xr:uid="{00000000-0005-0000-0000-0000414C0000}"/>
    <cellStyle name="SAPBEXstdDataEmph 2 5 4" xfId="19247" xr:uid="{00000000-0005-0000-0000-0000424C0000}"/>
    <cellStyle name="SAPBEXstdDataEmph 2 6" xfId="19248" xr:uid="{00000000-0005-0000-0000-0000434C0000}"/>
    <cellStyle name="SAPBEXstdDataEmph 2 6 2" xfId="19249" xr:uid="{00000000-0005-0000-0000-0000444C0000}"/>
    <cellStyle name="SAPBEXstdDataEmph 2 6 3" xfId="19250" xr:uid="{00000000-0005-0000-0000-0000454C0000}"/>
    <cellStyle name="SAPBEXstdDataEmph 2 6 4" xfId="19251" xr:uid="{00000000-0005-0000-0000-0000464C0000}"/>
    <cellStyle name="SAPBEXstdDataEmph 2 7" xfId="19252" xr:uid="{00000000-0005-0000-0000-0000474C0000}"/>
    <cellStyle name="SAPBEXstdDataEmph 2 7 2" xfId="19253" xr:uid="{00000000-0005-0000-0000-0000484C0000}"/>
    <cellStyle name="SAPBEXstdDataEmph 2 7 3" xfId="19254" xr:uid="{00000000-0005-0000-0000-0000494C0000}"/>
    <cellStyle name="SAPBEXstdDataEmph 2 7 4" xfId="19255" xr:uid="{00000000-0005-0000-0000-00004A4C0000}"/>
    <cellStyle name="SAPBEXstdDataEmph 2 8" xfId="19256" xr:uid="{00000000-0005-0000-0000-00004B4C0000}"/>
    <cellStyle name="SAPBEXstdDataEmph 2 8 2" xfId="19257" xr:uid="{00000000-0005-0000-0000-00004C4C0000}"/>
    <cellStyle name="SAPBEXstdDataEmph 2 8 3" xfId="19258" xr:uid="{00000000-0005-0000-0000-00004D4C0000}"/>
    <cellStyle name="SAPBEXstdDataEmph 2 8 4" xfId="19259" xr:uid="{00000000-0005-0000-0000-00004E4C0000}"/>
    <cellStyle name="SAPBEXstdDataEmph 2 9" xfId="19260" xr:uid="{00000000-0005-0000-0000-00004F4C0000}"/>
    <cellStyle name="SAPBEXstdDataEmph 2 9 2" xfId="19261" xr:uid="{00000000-0005-0000-0000-0000504C0000}"/>
    <cellStyle name="SAPBEXstdDataEmph 2 9 3" xfId="19262" xr:uid="{00000000-0005-0000-0000-0000514C0000}"/>
    <cellStyle name="SAPBEXstdDataEmph 2 9 4" xfId="19263" xr:uid="{00000000-0005-0000-0000-0000524C0000}"/>
    <cellStyle name="SAPBEXstdDataEmph 20" xfId="19264" xr:uid="{00000000-0005-0000-0000-0000534C0000}"/>
    <cellStyle name="SAPBEXstdDataEmph 20 2" xfId="19265" xr:uid="{00000000-0005-0000-0000-0000544C0000}"/>
    <cellStyle name="SAPBEXstdDataEmph 20 3" xfId="19266" xr:uid="{00000000-0005-0000-0000-0000554C0000}"/>
    <cellStyle name="SAPBEXstdDataEmph 20 4" xfId="19267" xr:uid="{00000000-0005-0000-0000-0000564C0000}"/>
    <cellStyle name="SAPBEXstdDataEmph 20 5" xfId="19268" xr:uid="{00000000-0005-0000-0000-0000574C0000}"/>
    <cellStyle name="SAPBEXstdDataEmph 20 6" xfId="19269" xr:uid="{00000000-0005-0000-0000-0000584C0000}"/>
    <cellStyle name="SAPBEXstdDataEmph 21" xfId="19270" xr:uid="{00000000-0005-0000-0000-0000594C0000}"/>
    <cellStyle name="SAPBEXstdDataEmph 21 2" xfId="19271" xr:uid="{00000000-0005-0000-0000-00005A4C0000}"/>
    <cellStyle name="SAPBEXstdDataEmph 21 3" xfId="19272" xr:uid="{00000000-0005-0000-0000-00005B4C0000}"/>
    <cellStyle name="SAPBEXstdDataEmph 21 4" xfId="19273" xr:uid="{00000000-0005-0000-0000-00005C4C0000}"/>
    <cellStyle name="SAPBEXstdDataEmph 21 5" xfId="19274" xr:uid="{00000000-0005-0000-0000-00005D4C0000}"/>
    <cellStyle name="SAPBEXstdDataEmph 21 6" xfId="19275" xr:uid="{00000000-0005-0000-0000-00005E4C0000}"/>
    <cellStyle name="SAPBEXstdDataEmph 22" xfId="19276" xr:uid="{00000000-0005-0000-0000-00005F4C0000}"/>
    <cellStyle name="SAPBEXstdDataEmph 22 2" xfId="19277" xr:uid="{00000000-0005-0000-0000-0000604C0000}"/>
    <cellStyle name="SAPBEXstdDataEmph 22 3" xfId="19278" xr:uid="{00000000-0005-0000-0000-0000614C0000}"/>
    <cellStyle name="SAPBEXstdDataEmph 22 4" xfId="19279" xr:uid="{00000000-0005-0000-0000-0000624C0000}"/>
    <cellStyle name="SAPBEXstdDataEmph 22 5" xfId="19280" xr:uid="{00000000-0005-0000-0000-0000634C0000}"/>
    <cellStyle name="SAPBEXstdDataEmph 22 6" xfId="19281" xr:uid="{00000000-0005-0000-0000-0000644C0000}"/>
    <cellStyle name="SAPBEXstdDataEmph 23" xfId="19282" xr:uid="{00000000-0005-0000-0000-0000654C0000}"/>
    <cellStyle name="SAPBEXstdDataEmph 23 2" xfId="19283" xr:uid="{00000000-0005-0000-0000-0000664C0000}"/>
    <cellStyle name="SAPBEXstdDataEmph 23 3" xfId="19284" xr:uid="{00000000-0005-0000-0000-0000674C0000}"/>
    <cellStyle name="SAPBEXstdDataEmph 23 4" xfId="19285" xr:uid="{00000000-0005-0000-0000-0000684C0000}"/>
    <cellStyle name="SAPBEXstdDataEmph 23 5" xfId="19286" xr:uid="{00000000-0005-0000-0000-0000694C0000}"/>
    <cellStyle name="SAPBEXstdDataEmph 23 6" xfId="19287" xr:uid="{00000000-0005-0000-0000-00006A4C0000}"/>
    <cellStyle name="SAPBEXstdDataEmph 24" xfId="19288" xr:uid="{00000000-0005-0000-0000-00006B4C0000}"/>
    <cellStyle name="SAPBEXstdDataEmph 24 2" xfId="19289" xr:uid="{00000000-0005-0000-0000-00006C4C0000}"/>
    <cellStyle name="SAPBEXstdDataEmph 24 3" xfId="19290" xr:uid="{00000000-0005-0000-0000-00006D4C0000}"/>
    <cellStyle name="SAPBEXstdDataEmph 24 4" xfId="19291" xr:uid="{00000000-0005-0000-0000-00006E4C0000}"/>
    <cellStyle name="SAPBEXstdDataEmph 24 5" xfId="19292" xr:uid="{00000000-0005-0000-0000-00006F4C0000}"/>
    <cellStyle name="SAPBEXstdDataEmph 24 6" xfId="19293" xr:uid="{00000000-0005-0000-0000-0000704C0000}"/>
    <cellStyle name="SAPBEXstdDataEmph 25" xfId="19294" xr:uid="{00000000-0005-0000-0000-0000714C0000}"/>
    <cellStyle name="SAPBEXstdDataEmph 25 2" xfId="19295" xr:uid="{00000000-0005-0000-0000-0000724C0000}"/>
    <cellStyle name="SAPBEXstdDataEmph 25 3" xfId="19296" xr:uid="{00000000-0005-0000-0000-0000734C0000}"/>
    <cellStyle name="SAPBEXstdDataEmph 25 4" xfId="19297" xr:uid="{00000000-0005-0000-0000-0000744C0000}"/>
    <cellStyle name="SAPBEXstdDataEmph 25 5" xfId="19298" xr:uid="{00000000-0005-0000-0000-0000754C0000}"/>
    <cellStyle name="SAPBEXstdDataEmph 25 6" xfId="19299" xr:uid="{00000000-0005-0000-0000-0000764C0000}"/>
    <cellStyle name="SAPBEXstdDataEmph 26" xfId="19300" xr:uid="{00000000-0005-0000-0000-0000774C0000}"/>
    <cellStyle name="SAPBEXstdDataEmph 26 2" xfId="19301" xr:uid="{00000000-0005-0000-0000-0000784C0000}"/>
    <cellStyle name="SAPBEXstdDataEmph 26 3" xfId="19302" xr:uid="{00000000-0005-0000-0000-0000794C0000}"/>
    <cellStyle name="SAPBEXstdDataEmph 26 4" xfId="19303" xr:uid="{00000000-0005-0000-0000-00007A4C0000}"/>
    <cellStyle name="SAPBEXstdDataEmph 26 5" xfId="19304" xr:uid="{00000000-0005-0000-0000-00007B4C0000}"/>
    <cellStyle name="SAPBEXstdDataEmph 26 6" xfId="19305" xr:uid="{00000000-0005-0000-0000-00007C4C0000}"/>
    <cellStyle name="SAPBEXstdDataEmph 27" xfId="19306" xr:uid="{00000000-0005-0000-0000-00007D4C0000}"/>
    <cellStyle name="SAPBEXstdDataEmph 27 2" xfId="19307" xr:uid="{00000000-0005-0000-0000-00007E4C0000}"/>
    <cellStyle name="SAPBEXstdDataEmph 27 3" xfId="19308" xr:uid="{00000000-0005-0000-0000-00007F4C0000}"/>
    <cellStyle name="SAPBEXstdDataEmph 27 4" xfId="19309" xr:uid="{00000000-0005-0000-0000-0000804C0000}"/>
    <cellStyle name="SAPBEXstdDataEmph 27 5" xfId="19310" xr:uid="{00000000-0005-0000-0000-0000814C0000}"/>
    <cellStyle name="SAPBEXstdDataEmph 27 6" xfId="19311" xr:uid="{00000000-0005-0000-0000-0000824C0000}"/>
    <cellStyle name="SAPBEXstdDataEmph 28" xfId="19312" xr:uid="{00000000-0005-0000-0000-0000834C0000}"/>
    <cellStyle name="SAPBEXstdDataEmph 28 2" xfId="19313" xr:uid="{00000000-0005-0000-0000-0000844C0000}"/>
    <cellStyle name="SAPBEXstdDataEmph 28 3" xfId="19314" xr:uid="{00000000-0005-0000-0000-0000854C0000}"/>
    <cellStyle name="SAPBEXstdDataEmph 28 4" xfId="19315" xr:uid="{00000000-0005-0000-0000-0000864C0000}"/>
    <cellStyle name="SAPBEXstdDataEmph 28 5" xfId="19316" xr:uid="{00000000-0005-0000-0000-0000874C0000}"/>
    <cellStyle name="SAPBEXstdDataEmph 28 6" xfId="19317" xr:uid="{00000000-0005-0000-0000-0000884C0000}"/>
    <cellStyle name="SAPBEXstdDataEmph 29" xfId="19318" xr:uid="{00000000-0005-0000-0000-0000894C0000}"/>
    <cellStyle name="SAPBEXstdDataEmph 29 2" xfId="19319" xr:uid="{00000000-0005-0000-0000-00008A4C0000}"/>
    <cellStyle name="SAPBEXstdDataEmph 29 3" xfId="19320" xr:uid="{00000000-0005-0000-0000-00008B4C0000}"/>
    <cellStyle name="SAPBEXstdDataEmph 29 4" xfId="19321" xr:uid="{00000000-0005-0000-0000-00008C4C0000}"/>
    <cellStyle name="SAPBEXstdDataEmph 29 5" xfId="19322" xr:uid="{00000000-0005-0000-0000-00008D4C0000}"/>
    <cellStyle name="SAPBEXstdDataEmph 29 6" xfId="19323" xr:uid="{00000000-0005-0000-0000-00008E4C0000}"/>
    <cellStyle name="SAPBEXstdDataEmph 3" xfId="19324" xr:uid="{00000000-0005-0000-0000-00008F4C0000}"/>
    <cellStyle name="SAPBEXstdDataEmph 3 10" xfId="19325" xr:uid="{00000000-0005-0000-0000-0000904C0000}"/>
    <cellStyle name="SAPBEXstdDataEmph 3 11" xfId="19326" xr:uid="{00000000-0005-0000-0000-0000914C0000}"/>
    <cellStyle name="SAPBEXstdDataEmph 3 12" xfId="19327" xr:uid="{00000000-0005-0000-0000-0000924C0000}"/>
    <cellStyle name="SAPBEXstdDataEmph 3 2" xfId="19328" xr:uid="{00000000-0005-0000-0000-0000934C0000}"/>
    <cellStyle name="SAPBEXstdDataEmph 3 2 2" xfId="19329" xr:uid="{00000000-0005-0000-0000-0000944C0000}"/>
    <cellStyle name="SAPBEXstdDataEmph 3 2 2 2" xfId="19330" xr:uid="{00000000-0005-0000-0000-0000954C0000}"/>
    <cellStyle name="SAPBEXstdDataEmph 3 2 2 3" xfId="19331" xr:uid="{00000000-0005-0000-0000-0000964C0000}"/>
    <cellStyle name="SAPBEXstdDataEmph 3 2 2 4" xfId="19332" xr:uid="{00000000-0005-0000-0000-0000974C0000}"/>
    <cellStyle name="SAPBEXstdDataEmph 3 2 2 5" xfId="19333" xr:uid="{00000000-0005-0000-0000-0000984C0000}"/>
    <cellStyle name="SAPBEXstdDataEmph 3 2 2 6" xfId="19334" xr:uid="{00000000-0005-0000-0000-0000994C0000}"/>
    <cellStyle name="SAPBEXstdDataEmph 3 2 3" xfId="19335" xr:uid="{00000000-0005-0000-0000-00009A4C0000}"/>
    <cellStyle name="SAPBEXstdDataEmph 3 2 3 2" xfId="19336" xr:uid="{00000000-0005-0000-0000-00009B4C0000}"/>
    <cellStyle name="SAPBEXstdDataEmph 3 2 3 3" xfId="19337" xr:uid="{00000000-0005-0000-0000-00009C4C0000}"/>
    <cellStyle name="SAPBEXstdDataEmph 3 2 3 4" xfId="19338" xr:uid="{00000000-0005-0000-0000-00009D4C0000}"/>
    <cellStyle name="SAPBEXstdDataEmph 3 2 3 5" xfId="19339" xr:uid="{00000000-0005-0000-0000-00009E4C0000}"/>
    <cellStyle name="SAPBEXstdDataEmph 3 2 3 6" xfId="19340" xr:uid="{00000000-0005-0000-0000-00009F4C0000}"/>
    <cellStyle name="SAPBEXstdDataEmph 3 2 4" xfId="19341" xr:uid="{00000000-0005-0000-0000-0000A04C0000}"/>
    <cellStyle name="SAPBEXstdDataEmph 3 2 4 2" xfId="19342" xr:uid="{00000000-0005-0000-0000-0000A14C0000}"/>
    <cellStyle name="SAPBEXstdDataEmph 3 2 4 3" xfId="19343" xr:uid="{00000000-0005-0000-0000-0000A24C0000}"/>
    <cellStyle name="SAPBEXstdDataEmph 3 2 4 4" xfId="19344" xr:uid="{00000000-0005-0000-0000-0000A34C0000}"/>
    <cellStyle name="SAPBEXstdDataEmph 3 2 4 5" xfId="19345" xr:uid="{00000000-0005-0000-0000-0000A44C0000}"/>
    <cellStyle name="SAPBEXstdDataEmph 3 2 4 6" xfId="19346" xr:uid="{00000000-0005-0000-0000-0000A54C0000}"/>
    <cellStyle name="SAPBEXstdDataEmph 3 2 5" xfId="19347" xr:uid="{00000000-0005-0000-0000-0000A64C0000}"/>
    <cellStyle name="SAPBEXstdDataEmph 3 2 5 2" xfId="19348" xr:uid="{00000000-0005-0000-0000-0000A74C0000}"/>
    <cellStyle name="SAPBEXstdDataEmph 3 2 5 3" xfId="19349" xr:uid="{00000000-0005-0000-0000-0000A84C0000}"/>
    <cellStyle name="SAPBEXstdDataEmph 3 2 5 4" xfId="19350" xr:uid="{00000000-0005-0000-0000-0000A94C0000}"/>
    <cellStyle name="SAPBEXstdDataEmph 3 2 5 5" xfId="19351" xr:uid="{00000000-0005-0000-0000-0000AA4C0000}"/>
    <cellStyle name="SAPBEXstdDataEmph 3 2 5 6" xfId="19352" xr:uid="{00000000-0005-0000-0000-0000AB4C0000}"/>
    <cellStyle name="SAPBEXstdDataEmph 3 2 6" xfId="19353" xr:uid="{00000000-0005-0000-0000-0000AC4C0000}"/>
    <cellStyle name="SAPBEXstdDataEmph 3 2 7" xfId="19354" xr:uid="{00000000-0005-0000-0000-0000AD4C0000}"/>
    <cellStyle name="SAPBEXstdDataEmph 3 2 8" xfId="19355" xr:uid="{00000000-0005-0000-0000-0000AE4C0000}"/>
    <cellStyle name="SAPBEXstdDataEmph 3 3" xfId="19356" xr:uid="{00000000-0005-0000-0000-0000AF4C0000}"/>
    <cellStyle name="SAPBEXstdDataEmph 3 3 2" xfId="19357" xr:uid="{00000000-0005-0000-0000-0000B04C0000}"/>
    <cellStyle name="SAPBEXstdDataEmph 3 3 3" xfId="19358" xr:uid="{00000000-0005-0000-0000-0000B14C0000}"/>
    <cellStyle name="SAPBEXstdDataEmph 3 3 4" xfId="19359" xr:uid="{00000000-0005-0000-0000-0000B24C0000}"/>
    <cellStyle name="SAPBEXstdDataEmph 3 3 5" xfId="19360" xr:uid="{00000000-0005-0000-0000-0000B34C0000}"/>
    <cellStyle name="SAPBEXstdDataEmph 3 3 6" xfId="19361" xr:uid="{00000000-0005-0000-0000-0000B44C0000}"/>
    <cellStyle name="SAPBEXstdDataEmph 3 4" xfId="19362" xr:uid="{00000000-0005-0000-0000-0000B54C0000}"/>
    <cellStyle name="SAPBEXstdDataEmph 3 4 2" xfId="19363" xr:uid="{00000000-0005-0000-0000-0000B64C0000}"/>
    <cellStyle name="SAPBEXstdDataEmph 3 4 3" xfId="19364" xr:uid="{00000000-0005-0000-0000-0000B74C0000}"/>
    <cellStyle name="SAPBEXstdDataEmph 3 4 4" xfId="19365" xr:uid="{00000000-0005-0000-0000-0000B84C0000}"/>
    <cellStyle name="SAPBEXstdDataEmph 3 4 5" xfId="19366" xr:uid="{00000000-0005-0000-0000-0000B94C0000}"/>
    <cellStyle name="SAPBEXstdDataEmph 3 4 6" xfId="19367" xr:uid="{00000000-0005-0000-0000-0000BA4C0000}"/>
    <cellStyle name="SAPBEXstdDataEmph 3 5" xfId="19368" xr:uid="{00000000-0005-0000-0000-0000BB4C0000}"/>
    <cellStyle name="SAPBEXstdDataEmph 3 5 2" xfId="19369" xr:uid="{00000000-0005-0000-0000-0000BC4C0000}"/>
    <cellStyle name="SAPBEXstdDataEmph 3 5 3" xfId="19370" xr:uid="{00000000-0005-0000-0000-0000BD4C0000}"/>
    <cellStyle name="SAPBEXstdDataEmph 3 5 4" xfId="19371" xr:uid="{00000000-0005-0000-0000-0000BE4C0000}"/>
    <cellStyle name="SAPBEXstdDataEmph 3 6" xfId="19372" xr:uid="{00000000-0005-0000-0000-0000BF4C0000}"/>
    <cellStyle name="SAPBEXstdDataEmph 3 6 2" xfId="19373" xr:uid="{00000000-0005-0000-0000-0000C04C0000}"/>
    <cellStyle name="SAPBEXstdDataEmph 3 6 3" xfId="19374" xr:uid="{00000000-0005-0000-0000-0000C14C0000}"/>
    <cellStyle name="SAPBEXstdDataEmph 3 6 4" xfId="19375" xr:uid="{00000000-0005-0000-0000-0000C24C0000}"/>
    <cellStyle name="SAPBEXstdDataEmph 3 7" xfId="19376" xr:uid="{00000000-0005-0000-0000-0000C34C0000}"/>
    <cellStyle name="SAPBEXstdDataEmph 3 7 2" xfId="19377" xr:uid="{00000000-0005-0000-0000-0000C44C0000}"/>
    <cellStyle name="SAPBEXstdDataEmph 3 7 3" xfId="19378" xr:uid="{00000000-0005-0000-0000-0000C54C0000}"/>
    <cellStyle name="SAPBEXstdDataEmph 3 7 4" xfId="19379" xr:uid="{00000000-0005-0000-0000-0000C64C0000}"/>
    <cellStyle name="SAPBEXstdDataEmph 3 8" xfId="19380" xr:uid="{00000000-0005-0000-0000-0000C74C0000}"/>
    <cellStyle name="SAPBEXstdDataEmph 3 9" xfId="19381" xr:uid="{00000000-0005-0000-0000-0000C84C0000}"/>
    <cellStyle name="SAPBEXstdDataEmph 30" xfId="19382" xr:uid="{00000000-0005-0000-0000-0000C94C0000}"/>
    <cellStyle name="SAPBEXstdDataEmph 30 2" xfId="19383" xr:uid="{00000000-0005-0000-0000-0000CA4C0000}"/>
    <cellStyle name="SAPBEXstdDataEmph 30 3" xfId="19384" xr:uid="{00000000-0005-0000-0000-0000CB4C0000}"/>
    <cellStyle name="SAPBEXstdDataEmph 30 4" xfId="19385" xr:uid="{00000000-0005-0000-0000-0000CC4C0000}"/>
    <cellStyle name="SAPBEXstdDataEmph 30 5" xfId="19386" xr:uid="{00000000-0005-0000-0000-0000CD4C0000}"/>
    <cellStyle name="SAPBEXstdDataEmph 30 6" xfId="19387" xr:uid="{00000000-0005-0000-0000-0000CE4C0000}"/>
    <cellStyle name="SAPBEXstdDataEmph 31" xfId="19388" xr:uid="{00000000-0005-0000-0000-0000CF4C0000}"/>
    <cellStyle name="SAPBEXstdDataEmph 31 2" xfId="19389" xr:uid="{00000000-0005-0000-0000-0000D04C0000}"/>
    <cellStyle name="SAPBEXstdDataEmph 31 3" xfId="19390" xr:uid="{00000000-0005-0000-0000-0000D14C0000}"/>
    <cellStyle name="SAPBEXstdDataEmph 31 4" xfId="19391" xr:uid="{00000000-0005-0000-0000-0000D24C0000}"/>
    <cellStyle name="SAPBEXstdDataEmph 31 5" xfId="19392" xr:uid="{00000000-0005-0000-0000-0000D34C0000}"/>
    <cellStyle name="SAPBEXstdDataEmph 31 6" xfId="19393" xr:uid="{00000000-0005-0000-0000-0000D44C0000}"/>
    <cellStyle name="SAPBEXstdDataEmph 32" xfId="19394" xr:uid="{00000000-0005-0000-0000-0000D54C0000}"/>
    <cellStyle name="SAPBEXstdDataEmph 32 2" xfId="19395" xr:uid="{00000000-0005-0000-0000-0000D64C0000}"/>
    <cellStyle name="SAPBEXstdDataEmph 32 3" xfId="19396" xr:uid="{00000000-0005-0000-0000-0000D74C0000}"/>
    <cellStyle name="SAPBEXstdDataEmph 32 4" xfId="19397" xr:uid="{00000000-0005-0000-0000-0000D84C0000}"/>
    <cellStyle name="SAPBEXstdDataEmph 32 5" xfId="19398" xr:uid="{00000000-0005-0000-0000-0000D94C0000}"/>
    <cellStyle name="SAPBEXstdDataEmph 32 6" xfId="19399" xr:uid="{00000000-0005-0000-0000-0000DA4C0000}"/>
    <cellStyle name="SAPBEXstdDataEmph 33" xfId="19400" xr:uid="{00000000-0005-0000-0000-0000DB4C0000}"/>
    <cellStyle name="SAPBEXstdDataEmph 34" xfId="19401" xr:uid="{00000000-0005-0000-0000-0000DC4C0000}"/>
    <cellStyle name="SAPBEXstdDataEmph 35" xfId="19402" xr:uid="{00000000-0005-0000-0000-0000DD4C0000}"/>
    <cellStyle name="SAPBEXstdDataEmph 36" xfId="19403" xr:uid="{00000000-0005-0000-0000-0000DE4C0000}"/>
    <cellStyle name="SAPBEXstdDataEmph 37" xfId="19404" xr:uid="{00000000-0005-0000-0000-0000DF4C0000}"/>
    <cellStyle name="SAPBEXstdDataEmph 38" xfId="19405" xr:uid="{00000000-0005-0000-0000-0000E04C0000}"/>
    <cellStyle name="SAPBEXstdDataEmph 39" xfId="19406" xr:uid="{00000000-0005-0000-0000-0000E14C0000}"/>
    <cellStyle name="SAPBEXstdDataEmph 4" xfId="19407" xr:uid="{00000000-0005-0000-0000-0000E24C0000}"/>
    <cellStyle name="SAPBEXstdDataEmph 4 2" xfId="19408" xr:uid="{00000000-0005-0000-0000-0000E34C0000}"/>
    <cellStyle name="SAPBEXstdDataEmph 4 3" xfId="19409" xr:uid="{00000000-0005-0000-0000-0000E44C0000}"/>
    <cellStyle name="SAPBEXstdDataEmph 4 4" xfId="19410" xr:uid="{00000000-0005-0000-0000-0000E54C0000}"/>
    <cellStyle name="SAPBEXstdDataEmph 4 5" xfId="19411" xr:uid="{00000000-0005-0000-0000-0000E64C0000}"/>
    <cellStyle name="SAPBEXstdDataEmph 4 6" xfId="19412" xr:uid="{00000000-0005-0000-0000-0000E74C0000}"/>
    <cellStyle name="SAPBEXstdDataEmph 40" xfId="19413" xr:uid="{00000000-0005-0000-0000-0000E84C0000}"/>
    <cellStyle name="SAPBEXstdDataEmph 41" xfId="19414" xr:uid="{00000000-0005-0000-0000-0000E94C0000}"/>
    <cellStyle name="SAPBEXstdDataEmph 42" xfId="19415" xr:uid="{00000000-0005-0000-0000-0000EA4C0000}"/>
    <cellStyle name="SAPBEXstdDataEmph 43" xfId="19416" xr:uid="{00000000-0005-0000-0000-0000EB4C0000}"/>
    <cellStyle name="SAPBEXstdDataEmph 44" xfId="19417" xr:uid="{00000000-0005-0000-0000-0000EC4C0000}"/>
    <cellStyle name="SAPBEXstdDataEmph 45" xfId="19418" xr:uid="{00000000-0005-0000-0000-0000ED4C0000}"/>
    <cellStyle name="SAPBEXstdDataEmph 46" xfId="19419" xr:uid="{00000000-0005-0000-0000-0000EE4C0000}"/>
    <cellStyle name="SAPBEXstdDataEmph 47" xfId="19420" xr:uid="{00000000-0005-0000-0000-0000EF4C0000}"/>
    <cellStyle name="SAPBEXstdDataEmph 48" xfId="19421" xr:uid="{00000000-0005-0000-0000-0000F04C0000}"/>
    <cellStyle name="SAPBEXstdDataEmph 49" xfId="19422" xr:uid="{00000000-0005-0000-0000-0000F14C0000}"/>
    <cellStyle name="SAPBEXstdDataEmph 5" xfId="19423" xr:uid="{00000000-0005-0000-0000-0000F24C0000}"/>
    <cellStyle name="SAPBEXstdDataEmph 5 2" xfId="19424" xr:uid="{00000000-0005-0000-0000-0000F34C0000}"/>
    <cellStyle name="SAPBEXstdDataEmph 5 3" xfId="19425" xr:uid="{00000000-0005-0000-0000-0000F44C0000}"/>
    <cellStyle name="SAPBEXstdDataEmph 5 4" xfId="19426" xr:uid="{00000000-0005-0000-0000-0000F54C0000}"/>
    <cellStyle name="SAPBEXstdDataEmph 5 5" xfId="19427" xr:uid="{00000000-0005-0000-0000-0000F64C0000}"/>
    <cellStyle name="SAPBEXstdDataEmph 5 6" xfId="19428" xr:uid="{00000000-0005-0000-0000-0000F74C0000}"/>
    <cellStyle name="SAPBEXstdDataEmph 50" xfId="19429" xr:uid="{00000000-0005-0000-0000-0000F84C0000}"/>
    <cellStyle name="SAPBEXstdDataEmph 51" xfId="19430" xr:uid="{00000000-0005-0000-0000-0000F94C0000}"/>
    <cellStyle name="SAPBEXstdDataEmph 52" xfId="19431" xr:uid="{00000000-0005-0000-0000-0000FA4C0000}"/>
    <cellStyle name="SAPBEXstdDataEmph 53" xfId="19432" xr:uid="{00000000-0005-0000-0000-0000FB4C0000}"/>
    <cellStyle name="SAPBEXstdDataEmph 54" xfId="19433" xr:uid="{00000000-0005-0000-0000-0000FC4C0000}"/>
    <cellStyle name="SAPBEXstdDataEmph 55" xfId="19434" xr:uid="{00000000-0005-0000-0000-0000FD4C0000}"/>
    <cellStyle name="SAPBEXstdDataEmph 56" xfId="19435" xr:uid="{00000000-0005-0000-0000-0000FE4C0000}"/>
    <cellStyle name="SAPBEXstdDataEmph 57" xfId="19436" xr:uid="{00000000-0005-0000-0000-0000FF4C0000}"/>
    <cellStyle name="SAPBEXstdDataEmph 58" xfId="19437" xr:uid="{00000000-0005-0000-0000-0000004D0000}"/>
    <cellStyle name="SAPBEXstdDataEmph 59" xfId="19438" xr:uid="{00000000-0005-0000-0000-0000014D0000}"/>
    <cellStyle name="SAPBEXstdDataEmph 6" xfId="19439" xr:uid="{00000000-0005-0000-0000-0000024D0000}"/>
    <cellStyle name="SAPBEXstdDataEmph 6 10" xfId="19440" xr:uid="{00000000-0005-0000-0000-0000034D0000}"/>
    <cellStyle name="SAPBEXstdDataEmph 6 2" xfId="19441" xr:uid="{00000000-0005-0000-0000-0000044D0000}"/>
    <cellStyle name="SAPBEXstdDataEmph 6 2 2" xfId="19442" xr:uid="{00000000-0005-0000-0000-0000054D0000}"/>
    <cellStyle name="SAPBEXstdDataEmph 6 2 3" xfId="19443" xr:uid="{00000000-0005-0000-0000-0000064D0000}"/>
    <cellStyle name="SAPBEXstdDataEmph 6 2 4" xfId="19444" xr:uid="{00000000-0005-0000-0000-0000074D0000}"/>
    <cellStyle name="SAPBEXstdDataEmph 6 3" xfId="19445" xr:uid="{00000000-0005-0000-0000-0000084D0000}"/>
    <cellStyle name="SAPBEXstdDataEmph 6 3 2" xfId="19446" xr:uid="{00000000-0005-0000-0000-0000094D0000}"/>
    <cellStyle name="SAPBEXstdDataEmph 6 3 3" xfId="19447" xr:uid="{00000000-0005-0000-0000-00000A4D0000}"/>
    <cellStyle name="SAPBEXstdDataEmph 6 3 4" xfId="19448" xr:uid="{00000000-0005-0000-0000-00000B4D0000}"/>
    <cellStyle name="SAPBEXstdDataEmph 6 4" xfId="19449" xr:uid="{00000000-0005-0000-0000-00000C4D0000}"/>
    <cellStyle name="SAPBEXstdDataEmph 6 4 2" xfId="19450" xr:uid="{00000000-0005-0000-0000-00000D4D0000}"/>
    <cellStyle name="SAPBEXstdDataEmph 6 4 3" xfId="19451" xr:uid="{00000000-0005-0000-0000-00000E4D0000}"/>
    <cellStyle name="SAPBEXstdDataEmph 6 4 4" xfId="19452" xr:uid="{00000000-0005-0000-0000-00000F4D0000}"/>
    <cellStyle name="SAPBEXstdDataEmph 6 5" xfId="19453" xr:uid="{00000000-0005-0000-0000-0000104D0000}"/>
    <cellStyle name="SAPBEXstdDataEmph 6 5 2" xfId="19454" xr:uid="{00000000-0005-0000-0000-0000114D0000}"/>
    <cellStyle name="SAPBEXstdDataEmph 6 5 3" xfId="19455" xr:uid="{00000000-0005-0000-0000-0000124D0000}"/>
    <cellStyle name="SAPBEXstdDataEmph 6 5 4" xfId="19456" xr:uid="{00000000-0005-0000-0000-0000134D0000}"/>
    <cellStyle name="SAPBEXstdDataEmph 6 6" xfId="19457" xr:uid="{00000000-0005-0000-0000-0000144D0000}"/>
    <cellStyle name="SAPBEXstdDataEmph 6 7" xfId="19458" xr:uid="{00000000-0005-0000-0000-0000154D0000}"/>
    <cellStyle name="SAPBEXstdDataEmph 6 8" xfId="19459" xr:uid="{00000000-0005-0000-0000-0000164D0000}"/>
    <cellStyle name="SAPBEXstdDataEmph 6 9" xfId="19460" xr:uid="{00000000-0005-0000-0000-0000174D0000}"/>
    <cellStyle name="SAPBEXstdDataEmph 60" xfId="19461" xr:uid="{00000000-0005-0000-0000-0000184D0000}"/>
    <cellStyle name="SAPBEXstdDataEmph 61" xfId="19462" xr:uid="{00000000-0005-0000-0000-0000194D0000}"/>
    <cellStyle name="SAPBEXstdDataEmph 62" xfId="19463" xr:uid="{00000000-0005-0000-0000-00001A4D0000}"/>
    <cellStyle name="SAPBEXstdDataEmph 63" xfId="19464" xr:uid="{00000000-0005-0000-0000-00001B4D0000}"/>
    <cellStyle name="SAPBEXstdDataEmph 64" xfId="19465" xr:uid="{00000000-0005-0000-0000-00001C4D0000}"/>
    <cellStyle name="SAPBEXstdDataEmph 65" xfId="19466" xr:uid="{00000000-0005-0000-0000-00001D4D0000}"/>
    <cellStyle name="SAPBEXstdDataEmph 66" xfId="19467" xr:uid="{00000000-0005-0000-0000-00001E4D0000}"/>
    <cellStyle name="SAPBEXstdDataEmph 67" xfId="19468" xr:uid="{00000000-0005-0000-0000-00001F4D0000}"/>
    <cellStyle name="SAPBEXstdDataEmph 68" xfId="19469" xr:uid="{00000000-0005-0000-0000-0000204D0000}"/>
    <cellStyle name="SAPBEXstdDataEmph 69" xfId="19470" xr:uid="{00000000-0005-0000-0000-0000214D0000}"/>
    <cellStyle name="SAPBEXstdDataEmph 7" xfId="19471" xr:uid="{00000000-0005-0000-0000-0000224D0000}"/>
    <cellStyle name="SAPBEXstdDataEmph 7 10" xfId="19472" xr:uid="{00000000-0005-0000-0000-0000234D0000}"/>
    <cellStyle name="SAPBEXstdDataEmph 7 2" xfId="19473" xr:uid="{00000000-0005-0000-0000-0000244D0000}"/>
    <cellStyle name="SAPBEXstdDataEmph 7 2 2" xfId="19474" xr:uid="{00000000-0005-0000-0000-0000254D0000}"/>
    <cellStyle name="SAPBEXstdDataEmph 7 2 3" xfId="19475" xr:uid="{00000000-0005-0000-0000-0000264D0000}"/>
    <cellStyle name="SAPBEXstdDataEmph 7 2 4" xfId="19476" xr:uid="{00000000-0005-0000-0000-0000274D0000}"/>
    <cellStyle name="SAPBEXstdDataEmph 7 3" xfId="19477" xr:uid="{00000000-0005-0000-0000-0000284D0000}"/>
    <cellStyle name="SAPBEXstdDataEmph 7 3 2" xfId="19478" xr:uid="{00000000-0005-0000-0000-0000294D0000}"/>
    <cellStyle name="SAPBEXstdDataEmph 7 3 3" xfId="19479" xr:uid="{00000000-0005-0000-0000-00002A4D0000}"/>
    <cellStyle name="SAPBEXstdDataEmph 7 3 4" xfId="19480" xr:uid="{00000000-0005-0000-0000-00002B4D0000}"/>
    <cellStyle name="SAPBEXstdDataEmph 7 4" xfId="19481" xr:uid="{00000000-0005-0000-0000-00002C4D0000}"/>
    <cellStyle name="SAPBEXstdDataEmph 7 4 2" xfId="19482" xr:uid="{00000000-0005-0000-0000-00002D4D0000}"/>
    <cellStyle name="SAPBEXstdDataEmph 7 4 3" xfId="19483" xr:uid="{00000000-0005-0000-0000-00002E4D0000}"/>
    <cellStyle name="SAPBEXstdDataEmph 7 4 4" xfId="19484" xr:uid="{00000000-0005-0000-0000-00002F4D0000}"/>
    <cellStyle name="SAPBEXstdDataEmph 7 5" xfId="19485" xr:uid="{00000000-0005-0000-0000-0000304D0000}"/>
    <cellStyle name="SAPBEXstdDataEmph 7 5 2" xfId="19486" xr:uid="{00000000-0005-0000-0000-0000314D0000}"/>
    <cellStyle name="SAPBEXstdDataEmph 7 5 3" xfId="19487" xr:uid="{00000000-0005-0000-0000-0000324D0000}"/>
    <cellStyle name="SAPBEXstdDataEmph 7 5 4" xfId="19488" xr:uid="{00000000-0005-0000-0000-0000334D0000}"/>
    <cellStyle name="SAPBEXstdDataEmph 7 6" xfId="19489" xr:uid="{00000000-0005-0000-0000-0000344D0000}"/>
    <cellStyle name="SAPBEXstdDataEmph 7 7" xfId="19490" xr:uid="{00000000-0005-0000-0000-0000354D0000}"/>
    <cellStyle name="SAPBEXstdDataEmph 7 8" xfId="19491" xr:uid="{00000000-0005-0000-0000-0000364D0000}"/>
    <cellStyle name="SAPBEXstdDataEmph 7 9" xfId="19492" xr:uid="{00000000-0005-0000-0000-0000374D0000}"/>
    <cellStyle name="SAPBEXstdDataEmph 70" xfId="19493" xr:uid="{00000000-0005-0000-0000-0000384D0000}"/>
    <cellStyle name="SAPBEXstdDataEmph 71" xfId="19494" xr:uid="{00000000-0005-0000-0000-0000394D0000}"/>
    <cellStyle name="SAPBEXstdDataEmph 72" xfId="19495" xr:uid="{00000000-0005-0000-0000-00003A4D0000}"/>
    <cellStyle name="SAPBEXstdDataEmph 73" xfId="19496" xr:uid="{00000000-0005-0000-0000-00003B4D0000}"/>
    <cellStyle name="SAPBEXstdDataEmph 74" xfId="19497" xr:uid="{00000000-0005-0000-0000-00003C4D0000}"/>
    <cellStyle name="SAPBEXstdDataEmph 75" xfId="19498" xr:uid="{00000000-0005-0000-0000-00003D4D0000}"/>
    <cellStyle name="SAPBEXstdDataEmph 76" xfId="19499" xr:uid="{00000000-0005-0000-0000-00003E4D0000}"/>
    <cellStyle name="SAPBEXstdDataEmph 77" xfId="19500" xr:uid="{00000000-0005-0000-0000-00003F4D0000}"/>
    <cellStyle name="SAPBEXstdDataEmph 78" xfId="19501" xr:uid="{00000000-0005-0000-0000-0000404D0000}"/>
    <cellStyle name="SAPBEXstdDataEmph 79" xfId="19502" xr:uid="{00000000-0005-0000-0000-0000414D0000}"/>
    <cellStyle name="SAPBEXstdDataEmph 8" xfId="19503" xr:uid="{00000000-0005-0000-0000-0000424D0000}"/>
    <cellStyle name="SAPBEXstdDataEmph 8 2" xfId="19504" xr:uid="{00000000-0005-0000-0000-0000434D0000}"/>
    <cellStyle name="SAPBEXstdDataEmph 8 3" xfId="19505" xr:uid="{00000000-0005-0000-0000-0000444D0000}"/>
    <cellStyle name="SAPBEXstdDataEmph 8 4" xfId="19506" xr:uid="{00000000-0005-0000-0000-0000454D0000}"/>
    <cellStyle name="SAPBEXstdDataEmph 8 5" xfId="19507" xr:uid="{00000000-0005-0000-0000-0000464D0000}"/>
    <cellStyle name="SAPBEXstdDataEmph 8 6" xfId="19508" xr:uid="{00000000-0005-0000-0000-0000474D0000}"/>
    <cellStyle name="SAPBEXstdDataEmph 80" xfId="19509" xr:uid="{00000000-0005-0000-0000-0000484D0000}"/>
    <cellStyle name="SAPBEXstdDataEmph 81" xfId="19510" xr:uid="{00000000-0005-0000-0000-0000494D0000}"/>
    <cellStyle name="SAPBEXstdDataEmph 82" xfId="19511" xr:uid="{00000000-0005-0000-0000-00004A4D0000}"/>
    <cellStyle name="SAPBEXstdDataEmph 83" xfId="19512" xr:uid="{00000000-0005-0000-0000-00004B4D0000}"/>
    <cellStyle name="SAPBEXstdDataEmph 84" xfId="19513" xr:uid="{00000000-0005-0000-0000-00004C4D0000}"/>
    <cellStyle name="SAPBEXstdDataEmph 85" xfId="19514" xr:uid="{00000000-0005-0000-0000-00004D4D0000}"/>
    <cellStyle name="SAPBEXstdDataEmph 86" xfId="19515" xr:uid="{00000000-0005-0000-0000-00004E4D0000}"/>
    <cellStyle name="SAPBEXstdDataEmph 87" xfId="19516" xr:uid="{00000000-0005-0000-0000-00004F4D0000}"/>
    <cellStyle name="SAPBEXstdDataEmph 88" xfId="19517" xr:uid="{00000000-0005-0000-0000-0000504D0000}"/>
    <cellStyle name="SAPBEXstdDataEmph 89" xfId="19518" xr:uid="{00000000-0005-0000-0000-0000514D0000}"/>
    <cellStyle name="SAPBEXstdDataEmph 9" xfId="19519" xr:uid="{00000000-0005-0000-0000-0000524D0000}"/>
    <cellStyle name="SAPBEXstdDataEmph 9 2" xfId="19520" xr:uid="{00000000-0005-0000-0000-0000534D0000}"/>
    <cellStyle name="SAPBEXstdDataEmph 9 3" xfId="19521" xr:uid="{00000000-0005-0000-0000-0000544D0000}"/>
    <cellStyle name="SAPBEXstdDataEmph 9 4" xfId="19522" xr:uid="{00000000-0005-0000-0000-0000554D0000}"/>
    <cellStyle name="SAPBEXstdDataEmph 9 5" xfId="19523" xr:uid="{00000000-0005-0000-0000-0000564D0000}"/>
    <cellStyle name="SAPBEXstdDataEmph 9 6" xfId="19524" xr:uid="{00000000-0005-0000-0000-0000574D0000}"/>
    <cellStyle name="SAPBEXstdDataEmph 90" xfId="19525" xr:uid="{00000000-0005-0000-0000-0000584D0000}"/>
    <cellStyle name="SAPBEXstdDataEmph 91" xfId="19526" xr:uid="{00000000-0005-0000-0000-0000594D0000}"/>
    <cellStyle name="SAPBEXstdDataEmph 92" xfId="19527" xr:uid="{00000000-0005-0000-0000-00005A4D0000}"/>
    <cellStyle name="SAPBEXstdDataEmph 93" xfId="19528" xr:uid="{00000000-0005-0000-0000-00005B4D0000}"/>
    <cellStyle name="SAPBEXstdDataEmph 94" xfId="19529" xr:uid="{00000000-0005-0000-0000-00005C4D0000}"/>
    <cellStyle name="SAPBEXstdDataEmph 95" xfId="19530" xr:uid="{00000000-0005-0000-0000-00005D4D0000}"/>
    <cellStyle name="SAPBEXstdDataEmph 96" xfId="19531" xr:uid="{00000000-0005-0000-0000-00005E4D0000}"/>
    <cellStyle name="SAPBEXstdDataEmph 97" xfId="19532" xr:uid="{00000000-0005-0000-0000-00005F4D0000}"/>
    <cellStyle name="SAPBEXstdDataEmph 98" xfId="19533" xr:uid="{00000000-0005-0000-0000-0000604D0000}"/>
    <cellStyle name="SAPBEXstdDataEmph 99" xfId="19534" xr:uid="{00000000-0005-0000-0000-0000614D0000}"/>
    <cellStyle name="SAPBEXstdDataEmph_2009 12 09 Cash flow (2009)" xfId="19535" xr:uid="{00000000-0005-0000-0000-0000624D0000}"/>
    <cellStyle name="SAPBEXstdItem" xfId="19536" xr:uid="{00000000-0005-0000-0000-0000634D0000}"/>
    <cellStyle name="SAPBEXstdItem 10" xfId="19537" xr:uid="{00000000-0005-0000-0000-0000644D0000}"/>
    <cellStyle name="SAPBEXstdItem 10 2" xfId="19538" xr:uid="{00000000-0005-0000-0000-0000654D0000}"/>
    <cellStyle name="SAPBEXstdItem 10 3" xfId="19539" xr:uid="{00000000-0005-0000-0000-0000664D0000}"/>
    <cellStyle name="SAPBEXstdItem 10 4" xfId="19540" xr:uid="{00000000-0005-0000-0000-0000674D0000}"/>
    <cellStyle name="SAPBEXstdItem 10 5" xfId="19541" xr:uid="{00000000-0005-0000-0000-0000684D0000}"/>
    <cellStyle name="SAPBEXstdItem 10 6" xfId="19542" xr:uid="{00000000-0005-0000-0000-0000694D0000}"/>
    <cellStyle name="SAPBEXstdItem 10 7" xfId="28078" xr:uid="{00000000-0005-0000-0000-00006A4D0000}"/>
    <cellStyle name="SAPBEXstdItem 100" xfId="19543" xr:uid="{00000000-0005-0000-0000-00006B4D0000}"/>
    <cellStyle name="SAPBEXstdItem 101" xfId="19544" xr:uid="{00000000-0005-0000-0000-00006C4D0000}"/>
    <cellStyle name="SAPBEXstdItem 102" xfId="19545" xr:uid="{00000000-0005-0000-0000-00006D4D0000}"/>
    <cellStyle name="SAPBEXstdItem 103" xfId="19546" xr:uid="{00000000-0005-0000-0000-00006E4D0000}"/>
    <cellStyle name="SAPBEXstdItem 104" xfId="19547" xr:uid="{00000000-0005-0000-0000-00006F4D0000}"/>
    <cellStyle name="SAPBEXstdItem 105" xfId="19548" xr:uid="{00000000-0005-0000-0000-0000704D0000}"/>
    <cellStyle name="SAPBEXstdItem 106" xfId="19549" xr:uid="{00000000-0005-0000-0000-0000714D0000}"/>
    <cellStyle name="SAPBEXstdItem 107" xfId="19550" xr:uid="{00000000-0005-0000-0000-0000724D0000}"/>
    <cellStyle name="SAPBEXstdItem 108" xfId="19551" xr:uid="{00000000-0005-0000-0000-0000734D0000}"/>
    <cellStyle name="SAPBEXstdItem 109" xfId="19552" xr:uid="{00000000-0005-0000-0000-0000744D0000}"/>
    <cellStyle name="SAPBEXstdItem 11" xfId="19553" xr:uid="{00000000-0005-0000-0000-0000754D0000}"/>
    <cellStyle name="SAPBEXstdItem 11 2" xfId="19554" xr:uid="{00000000-0005-0000-0000-0000764D0000}"/>
    <cellStyle name="SAPBEXstdItem 11 3" xfId="19555" xr:uid="{00000000-0005-0000-0000-0000774D0000}"/>
    <cellStyle name="SAPBEXstdItem 11 4" xfId="19556" xr:uid="{00000000-0005-0000-0000-0000784D0000}"/>
    <cellStyle name="SAPBEXstdItem 11 5" xfId="19557" xr:uid="{00000000-0005-0000-0000-0000794D0000}"/>
    <cellStyle name="SAPBEXstdItem 11 6" xfId="19558" xr:uid="{00000000-0005-0000-0000-00007A4D0000}"/>
    <cellStyle name="SAPBEXstdItem 110" xfId="19559" xr:uid="{00000000-0005-0000-0000-00007B4D0000}"/>
    <cellStyle name="SAPBEXstdItem 111" xfId="19560" xr:uid="{00000000-0005-0000-0000-00007C4D0000}"/>
    <cellStyle name="SAPBEXstdItem 112" xfId="19561" xr:uid="{00000000-0005-0000-0000-00007D4D0000}"/>
    <cellStyle name="SAPBEXstdItem 113" xfId="19562" xr:uid="{00000000-0005-0000-0000-00007E4D0000}"/>
    <cellStyle name="SAPBEXstdItem 114" xfId="19563" xr:uid="{00000000-0005-0000-0000-00007F4D0000}"/>
    <cellStyle name="SAPBEXstdItem 115" xfId="19564" xr:uid="{00000000-0005-0000-0000-0000804D0000}"/>
    <cellStyle name="SAPBEXstdItem 116" xfId="19565" xr:uid="{00000000-0005-0000-0000-0000814D0000}"/>
    <cellStyle name="SAPBEXstdItem 117" xfId="19566" xr:uid="{00000000-0005-0000-0000-0000824D0000}"/>
    <cellStyle name="SAPBEXstdItem 118" xfId="19567" xr:uid="{00000000-0005-0000-0000-0000834D0000}"/>
    <cellStyle name="SAPBEXstdItem 119" xfId="19568" xr:uid="{00000000-0005-0000-0000-0000844D0000}"/>
    <cellStyle name="SAPBEXstdItem 12" xfId="19569" xr:uid="{00000000-0005-0000-0000-0000854D0000}"/>
    <cellStyle name="SAPBEXstdItem 12 2" xfId="19570" xr:uid="{00000000-0005-0000-0000-0000864D0000}"/>
    <cellStyle name="SAPBEXstdItem 12 3" xfId="19571" xr:uid="{00000000-0005-0000-0000-0000874D0000}"/>
    <cellStyle name="SAPBEXstdItem 12 4" xfId="19572" xr:uid="{00000000-0005-0000-0000-0000884D0000}"/>
    <cellStyle name="SAPBEXstdItem 12 5" xfId="19573" xr:uid="{00000000-0005-0000-0000-0000894D0000}"/>
    <cellStyle name="SAPBEXstdItem 12 6" xfId="19574" xr:uid="{00000000-0005-0000-0000-00008A4D0000}"/>
    <cellStyle name="SAPBEXstdItem 120" xfId="19575" xr:uid="{00000000-0005-0000-0000-00008B4D0000}"/>
    <cellStyle name="SAPBEXstdItem 121" xfId="19576" xr:uid="{00000000-0005-0000-0000-00008C4D0000}"/>
    <cellStyle name="SAPBEXstdItem 122" xfId="19577" xr:uid="{00000000-0005-0000-0000-00008D4D0000}"/>
    <cellStyle name="SAPBEXstdItem 123" xfId="19578" xr:uid="{00000000-0005-0000-0000-00008E4D0000}"/>
    <cellStyle name="SAPBEXstdItem 124" xfId="19579" xr:uid="{00000000-0005-0000-0000-00008F4D0000}"/>
    <cellStyle name="SAPBEXstdItem 125" xfId="19580" xr:uid="{00000000-0005-0000-0000-0000904D0000}"/>
    <cellStyle name="SAPBEXstdItem 126" xfId="19581" xr:uid="{00000000-0005-0000-0000-0000914D0000}"/>
    <cellStyle name="SAPBEXstdItem 127" xfId="19582" xr:uid="{00000000-0005-0000-0000-0000924D0000}"/>
    <cellStyle name="SAPBEXstdItem 128" xfId="19583" xr:uid="{00000000-0005-0000-0000-0000934D0000}"/>
    <cellStyle name="SAPBEXstdItem 129" xfId="19584" xr:uid="{00000000-0005-0000-0000-0000944D0000}"/>
    <cellStyle name="SAPBEXstdItem 13" xfId="19585" xr:uid="{00000000-0005-0000-0000-0000954D0000}"/>
    <cellStyle name="SAPBEXstdItem 13 2" xfId="19586" xr:uid="{00000000-0005-0000-0000-0000964D0000}"/>
    <cellStyle name="SAPBEXstdItem 13 3" xfId="19587" xr:uid="{00000000-0005-0000-0000-0000974D0000}"/>
    <cellStyle name="SAPBEXstdItem 13 4" xfId="19588" xr:uid="{00000000-0005-0000-0000-0000984D0000}"/>
    <cellStyle name="SAPBEXstdItem 13 5" xfId="19589" xr:uid="{00000000-0005-0000-0000-0000994D0000}"/>
    <cellStyle name="SAPBEXstdItem 13 6" xfId="19590" xr:uid="{00000000-0005-0000-0000-00009A4D0000}"/>
    <cellStyle name="SAPBEXstdItem 130" xfId="19591" xr:uid="{00000000-0005-0000-0000-00009B4D0000}"/>
    <cellStyle name="SAPBEXstdItem 131" xfId="19592" xr:uid="{00000000-0005-0000-0000-00009C4D0000}"/>
    <cellStyle name="SAPBEXstdItem 132" xfId="19593" xr:uid="{00000000-0005-0000-0000-00009D4D0000}"/>
    <cellStyle name="SAPBEXstdItem 133" xfId="19594" xr:uid="{00000000-0005-0000-0000-00009E4D0000}"/>
    <cellStyle name="SAPBEXstdItem 134" xfId="19595" xr:uid="{00000000-0005-0000-0000-00009F4D0000}"/>
    <cellStyle name="SAPBEXstdItem 135" xfId="19596" xr:uid="{00000000-0005-0000-0000-0000A04D0000}"/>
    <cellStyle name="SAPBEXstdItem 136" xfId="19597" xr:uid="{00000000-0005-0000-0000-0000A14D0000}"/>
    <cellStyle name="SAPBEXstdItem 137" xfId="19598" xr:uid="{00000000-0005-0000-0000-0000A24D0000}"/>
    <cellStyle name="SAPBEXstdItem 138" xfId="19599" xr:uid="{00000000-0005-0000-0000-0000A34D0000}"/>
    <cellStyle name="SAPBEXstdItem 139" xfId="19600" xr:uid="{00000000-0005-0000-0000-0000A44D0000}"/>
    <cellStyle name="SAPBEXstdItem 14" xfId="19601" xr:uid="{00000000-0005-0000-0000-0000A54D0000}"/>
    <cellStyle name="SAPBEXstdItem 14 2" xfId="19602" xr:uid="{00000000-0005-0000-0000-0000A64D0000}"/>
    <cellStyle name="SAPBEXstdItem 14 3" xfId="19603" xr:uid="{00000000-0005-0000-0000-0000A74D0000}"/>
    <cellStyle name="SAPBEXstdItem 14 4" xfId="19604" xr:uid="{00000000-0005-0000-0000-0000A84D0000}"/>
    <cellStyle name="SAPBEXstdItem 14 5" xfId="19605" xr:uid="{00000000-0005-0000-0000-0000A94D0000}"/>
    <cellStyle name="SAPBEXstdItem 14 6" xfId="19606" xr:uid="{00000000-0005-0000-0000-0000AA4D0000}"/>
    <cellStyle name="SAPBEXstdItem 140" xfId="19607" xr:uid="{00000000-0005-0000-0000-0000AB4D0000}"/>
    <cellStyle name="SAPBEXstdItem 141" xfId="19608" xr:uid="{00000000-0005-0000-0000-0000AC4D0000}"/>
    <cellStyle name="SAPBEXstdItem 142" xfId="19609" xr:uid="{00000000-0005-0000-0000-0000AD4D0000}"/>
    <cellStyle name="SAPBEXstdItem 143" xfId="19610" xr:uid="{00000000-0005-0000-0000-0000AE4D0000}"/>
    <cellStyle name="SAPBEXstdItem 144" xfId="19611" xr:uid="{00000000-0005-0000-0000-0000AF4D0000}"/>
    <cellStyle name="SAPBEXstdItem 145" xfId="19612" xr:uid="{00000000-0005-0000-0000-0000B04D0000}"/>
    <cellStyle name="SAPBEXstdItem 146" xfId="19613" xr:uid="{00000000-0005-0000-0000-0000B14D0000}"/>
    <cellStyle name="SAPBEXstdItem 147" xfId="19614" xr:uid="{00000000-0005-0000-0000-0000B24D0000}"/>
    <cellStyle name="SAPBEXstdItem 148" xfId="19615" xr:uid="{00000000-0005-0000-0000-0000B34D0000}"/>
    <cellStyle name="SAPBEXstdItem 149" xfId="19616" xr:uid="{00000000-0005-0000-0000-0000B44D0000}"/>
    <cellStyle name="SAPBEXstdItem 15" xfId="19617" xr:uid="{00000000-0005-0000-0000-0000B54D0000}"/>
    <cellStyle name="SAPBEXstdItem 15 2" xfId="19618" xr:uid="{00000000-0005-0000-0000-0000B64D0000}"/>
    <cellStyle name="SAPBEXstdItem 15 3" xfId="19619" xr:uid="{00000000-0005-0000-0000-0000B74D0000}"/>
    <cellStyle name="SAPBEXstdItem 15 4" xfId="19620" xr:uid="{00000000-0005-0000-0000-0000B84D0000}"/>
    <cellStyle name="SAPBEXstdItem 15 5" xfId="19621" xr:uid="{00000000-0005-0000-0000-0000B94D0000}"/>
    <cellStyle name="SAPBEXstdItem 15 6" xfId="19622" xr:uid="{00000000-0005-0000-0000-0000BA4D0000}"/>
    <cellStyle name="SAPBEXstdItem 150" xfId="19623" xr:uid="{00000000-0005-0000-0000-0000BB4D0000}"/>
    <cellStyle name="SAPBEXstdItem 151" xfId="19624" xr:uid="{00000000-0005-0000-0000-0000BC4D0000}"/>
    <cellStyle name="SAPBEXstdItem 152" xfId="19625" xr:uid="{00000000-0005-0000-0000-0000BD4D0000}"/>
    <cellStyle name="SAPBEXstdItem 153" xfId="19626" xr:uid="{00000000-0005-0000-0000-0000BE4D0000}"/>
    <cellStyle name="SAPBEXstdItem 154" xfId="19627" xr:uid="{00000000-0005-0000-0000-0000BF4D0000}"/>
    <cellStyle name="SAPBEXstdItem 155" xfId="19628" xr:uid="{00000000-0005-0000-0000-0000C04D0000}"/>
    <cellStyle name="SAPBEXstdItem 156" xfId="19629" xr:uid="{00000000-0005-0000-0000-0000C14D0000}"/>
    <cellStyle name="SAPBEXstdItem 157" xfId="19630" xr:uid="{00000000-0005-0000-0000-0000C24D0000}"/>
    <cellStyle name="SAPBEXstdItem 158" xfId="19631" xr:uid="{00000000-0005-0000-0000-0000C34D0000}"/>
    <cellStyle name="SAPBEXstdItem 159" xfId="19632" xr:uid="{00000000-0005-0000-0000-0000C44D0000}"/>
    <cellStyle name="SAPBEXstdItem 16" xfId="19633" xr:uid="{00000000-0005-0000-0000-0000C54D0000}"/>
    <cellStyle name="SAPBEXstdItem 16 2" xfId="19634" xr:uid="{00000000-0005-0000-0000-0000C64D0000}"/>
    <cellStyle name="SAPBEXstdItem 16 3" xfId="19635" xr:uid="{00000000-0005-0000-0000-0000C74D0000}"/>
    <cellStyle name="SAPBEXstdItem 16 4" xfId="19636" xr:uid="{00000000-0005-0000-0000-0000C84D0000}"/>
    <cellStyle name="SAPBEXstdItem 16 5" xfId="19637" xr:uid="{00000000-0005-0000-0000-0000C94D0000}"/>
    <cellStyle name="SAPBEXstdItem 16 6" xfId="19638" xr:uid="{00000000-0005-0000-0000-0000CA4D0000}"/>
    <cellStyle name="SAPBEXstdItem 160" xfId="19639" xr:uid="{00000000-0005-0000-0000-0000CB4D0000}"/>
    <cellStyle name="SAPBEXstdItem 161" xfId="19640" xr:uid="{00000000-0005-0000-0000-0000CC4D0000}"/>
    <cellStyle name="SAPBEXstdItem 162" xfId="19641" xr:uid="{00000000-0005-0000-0000-0000CD4D0000}"/>
    <cellStyle name="SAPBEXstdItem 163" xfId="19642" xr:uid="{00000000-0005-0000-0000-0000CE4D0000}"/>
    <cellStyle name="SAPBEXstdItem 164" xfId="19643" xr:uid="{00000000-0005-0000-0000-0000CF4D0000}"/>
    <cellStyle name="SAPBEXstdItem 165" xfId="19644" xr:uid="{00000000-0005-0000-0000-0000D04D0000}"/>
    <cellStyle name="SAPBEXstdItem 166" xfId="19645" xr:uid="{00000000-0005-0000-0000-0000D14D0000}"/>
    <cellStyle name="SAPBEXstdItem 167" xfId="19646" xr:uid="{00000000-0005-0000-0000-0000D24D0000}"/>
    <cellStyle name="SAPBEXstdItem 168" xfId="19647" xr:uid="{00000000-0005-0000-0000-0000D34D0000}"/>
    <cellStyle name="SAPBEXstdItem 169" xfId="19648" xr:uid="{00000000-0005-0000-0000-0000D44D0000}"/>
    <cellStyle name="SAPBEXstdItem 17" xfId="19649" xr:uid="{00000000-0005-0000-0000-0000D54D0000}"/>
    <cellStyle name="SAPBEXstdItem 17 2" xfId="19650" xr:uid="{00000000-0005-0000-0000-0000D64D0000}"/>
    <cellStyle name="SAPBEXstdItem 17 3" xfId="19651" xr:uid="{00000000-0005-0000-0000-0000D74D0000}"/>
    <cellStyle name="SAPBEXstdItem 17 4" xfId="19652" xr:uid="{00000000-0005-0000-0000-0000D84D0000}"/>
    <cellStyle name="SAPBEXstdItem 17 5" xfId="19653" xr:uid="{00000000-0005-0000-0000-0000D94D0000}"/>
    <cellStyle name="SAPBEXstdItem 17 6" xfId="19654" xr:uid="{00000000-0005-0000-0000-0000DA4D0000}"/>
    <cellStyle name="SAPBEXstdItem 170" xfId="19655" xr:uid="{00000000-0005-0000-0000-0000DB4D0000}"/>
    <cellStyle name="SAPBEXstdItem 171" xfId="19656" xr:uid="{00000000-0005-0000-0000-0000DC4D0000}"/>
    <cellStyle name="SAPBEXstdItem 172" xfId="19657" xr:uid="{00000000-0005-0000-0000-0000DD4D0000}"/>
    <cellStyle name="SAPBEXstdItem 173" xfId="27800" xr:uid="{00000000-0005-0000-0000-0000DE4D0000}"/>
    <cellStyle name="SAPBEXstdItem 174" xfId="27937" xr:uid="{00000000-0005-0000-0000-0000DF4D0000}"/>
    <cellStyle name="SAPBEXstdItem 174 2" xfId="28045" xr:uid="{00000000-0005-0000-0000-0000E04D0000}"/>
    <cellStyle name="SAPBEXstdItem 175" xfId="27988" xr:uid="{00000000-0005-0000-0000-0000E14D0000}"/>
    <cellStyle name="SAPBEXstdItem 176" xfId="28036" xr:uid="{00000000-0005-0000-0000-0000E24D0000}"/>
    <cellStyle name="SAPBEXstdItem 177" xfId="28169" xr:uid="{00000000-0005-0000-0000-0000E34D0000}"/>
    <cellStyle name="SAPBEXstdItem 18" xfId="19658" xr:uid="{00000000-0005-0000-0000-0000E44D0000}"/>
    <cellStyle name="SAPBEXstdItem 18 2" xfId="19659" xr:uid="{00000000-0005-0000-0000-0000E54D0000}"/>
    <cellStyle name="SAPBEXstdItem 18 3" xfId="19660" xr:uid="{00000000-0005-0000-0000-0000E64D0000}"/>
    <cellStyle name="SAPBEXstdItem 18 4" xfId="19661" xr:uid="{00000000-0005-0000-0000-0000E74D0000}"/>
    <cellStyle name="SAPBEXstdItem 18 5" xfId="19662" xr:uid="{00000000-0005-0000-0000-0000E84D0000}"/>
    <cellStyle name="SAPBEXstdItem 18 6" xfId="19663" xr:uid="{00000000-0005-0000-0000-0000E94D0000}"/>
    <cellStyle name="SAPBEXstdItem 19" xfId="19664" xr:uid="{00000000-0005-0000-0000-0000EA4D0000}"/>
    <cellStyle name="SAPBEXstdItem 19 2" xfId="19665" xr:uid="{00000000-0005-0000-0000-0000EB4D0000}"/>
    <cellStyle name="SAPBEXstdItem 19 3" xfId="19666" xr:uid="{00000000-0005-0000-0000-0000EC4D0000}"/>
    <cellStyle name="SAPBEXstdItem 19 4" xfId="19667" xr:uid="{00000000-0005-0000-0000-0000ED4D0000}"/>
    <cellStyle name="SAPBEXstdItem 19 5" xfId="19668" xr:uid="{00000000-0005-0000-0000-0000EE4D0000}"/>
    <cellStyle name="SAPBEXstdItem 19 6" xfId="19669" xr:uid="{00000000-0005-0000-0000-0000EF4D0000}"/>
    <cellStyle name="SAPBEXstdItem 2" xfId="19670" xr:uid="{00000000-0005-0000-0000-0000F04D0000}"/>
    <cellStyle name="SAPBEXstdItem 2 10" xfId="19671" xr:uid="{00000000-0005-0000-0000-0000F14D0000}"/>
    <cellStyle name="SAPBEXstdItem 2 10 2" xfId="19672" xr:uid="{00000000-0005-0000-0000-0000F24D0000}"/>
    <cellStyle name="SAPBEXstdItem 2 10 3" xfId="19673" xr:uid="{00000000-0005-0000-0000-0000F34D0000}"/>
    <cellStyle name="SAPBEXstdItem 2 10 4" xfId="19674" xr:uid="{00000000-0005-0000-0000-0000F44D0000}"/>
    <cellStyle name="SAPBEXstdItem 2 11" xfId="19675" xr:uid="{00000000-0005-0000-0000-0000F54D0000}"/>
    <cellStyle name="SAPBEXstdItem 2 11 2" xfId="19676" xr:uid="{00000000-0005-0000-0000-0000F64D0000}"/>
    <cellStyle name="SAPBEXstdItem 2 11 3" xfId="19677" xr:uid="{00000000-0005-0000-0000-0000F74D0000}"/>
    <cellStyle name="SAPBEXstdItem 2 11 4" xfId="19678" xr:uid="{00000000-0005-0000-0000-0000F84D0000}"/>
    <cellStyle name="SAPBEXstdItem 2 12" xfId="19679" xr:uid="{00000000-0005-0000-0000-0000F94D0000}"/>
    <cellStyle name="SAPBEXstdItem 2 12 2" xfId="19680" xr:uid="{00000000-0005-0000-0000-0000FA4D0000}"/>
    <cellStyle name="SAPBEXstdItem 2 12 3" xfId="19681" xr:uid="{00000000-0005-0000-0000-0000FB4D0000}"/>
    <cellStyle name="SAPBEXstdItem 2 12 4" xfId="19682" xr:uid="{00000000-0005-0000-0000-0000FC4D0000}"/>
    <cellStyle name="SAPBEXstdItem 2 13" xfId="19683" xr:uid="{00000000-0005-0000-0000-0000FD4D0000}"/>
    <cellStyle name="SAPBEXstdItem 2 13 2" xfId="19684" xr:uid="{00000000-0005-0000-0000-0000FE4D0000}"/>
    <cellStyle name="SAPBEXstdItem 2 13 3" xfId="19685" xr:uid="{00000000-0005-0000-0000-0000FF4D0000}"/>
    <cellStyle name="SAPBEXstdItem 2 13 4" xfId="19686" xr:uid="{00000000-0005-0000-0000-0000004E0000}"/>
    <cellStyle name="SAPBEXstdItem 2 14" xfId="19687" xr:uid="{00000000-0005-0000-0000-0000014E0000}"/>
    <cellStyle name="SAPBEXstdItem 2 15" xfId="19688" xr:uid="{00000000-0005-0000-0000-0000024E0000}"/>
    <cellStyle name="SAPBEXstdItem 2 16" xfId="19689" xr:uid="{00000000-0005-0000-0000-0000034E0000}"/>
    <cellStyle name="SAPBEXstdItem 2 17" xfId="19690" xr:uid="{00000000-0005-0000-0000-0000044E0000}"/>
    <cellStyle name="SAPBEXstdItem 2 18" xfId="19691" xr:uid="{00000000-0005-0000-0000-0000054E0000}"/>
    <cellStyle name="SAPBEXstdItem 2 2" xfId="19692" xr:uid="{00000000-0005-0000-0000-0000064E0000}"/>
    <cellStyle name="SAPBEXstdItem 2 2 2" xfId="19693" xr:uid="{00000000-0005-0000-0000-0000074E0000}"/>
    <cellStyle name="SAPBEXstdItem 2 2 2 2" xfId="19694" xr:uid="{00000000-0005-0000-0000-0000084E0000}"/>
    <cellStyle name="SAPBEXstdItem 2 2 2 3" xfId="19695" xr:uid="{00000000-0005-0000-0000-0000094E0000}"/>
    <cellStyle name="SAPBEXstdItem 2 2 2 4" xfId="19696" xr:uid="{00000000-0005-0000-0000-00000A4E0000}"/>
    <cellStyle name="SAPBEXstdItem 2 2 2 5" xfId="19697" xr:uid="{00000000-0005-0000-0000-00000B4E0000}"/>
    <cellStyle name="SAPBEXstdItem 2 2 2 6" xfId="19698" xr:uid="{00000000-0005-0000-0000-00000C4E0000}"/>
    <cellStyle name="SAPBEXstdItem 2 2 3" xfId="19699" xr:uid="{00000000-0005-0000-0000-00000D4E0000}"/>
    <cellStyle name="SAPBEXstdItem 2 2 3 2" xfId="19700" xr:uid="{00000000-0005-0000-0000-00000E4E0000}"/>
    <cellStyle name="SAPBEXstdItem 2 2 3 3" xfId="19701" xr:uid="{00000000-0005-0000-0000-00000F4E0000}"/>
    <cellStyle name="SAPBEXstdItem 2 2 3 4" xfId="19702" xr:uid="{00000000-0005-0000-0000-0000104E0000}"/>
    <cellStyle name="SAPBEXstdItem 2 2 3 5" xfId="19703" xr:uid="{00000000-0005-0000-0000-0000114E0000}"/>
    <cellStyle name="SAPBEXstdItem 2 2 3 6" xfId="19704" xr:uid="{00000000-0005-0000-0000-0000124E0000}"/>
    <cellStyle name="SAPBEXstdItem 2 2 4" xfId="19705" xr:uid="{00000000-0005-0000-0000-0000134E0000}"/>
    <cellStyle name="SAPBEXstdItem 2 2 4 2" xfId="19706" xr:uid="{00000000-0005-0000-0000-0000144E0000}"/>
    <cellStyle name="SAPBEXstdItem 2 2 4 3" xfId="19707" xr:uid="{00000000-0005-0000-0000-0000154E0000}"/>
    <cellStyle name="SAPBEXstdItem 2 2 4 4" xfId="19708" xr:uid="{00000000-0005-0000-0000-0000164E0000}"/>
    <cellStyle name="SAPBEXstdItem 2 2 4 5" xfId="19709" xr:uid="{00000000-0005-0000-0000-0000174E0000}"/>
    <cellStyle name="SAPBEXstdItem 2 2 4 6" xfId="19710" xr:uid="{00000000-0005-0000-0000-0000184E0000}"/>
    <cellStyle name="SAPBEXstdItem 2 2 5" xfId="19711" xr:uid="{00000000-0005-0000-0000-0000194E0000}"/>
    <cellStyle name="SAPBEXstdItem 2 2 5 2" xfId="19712" xr:uid="{00000000-0005-0000-0000-00001A4E0000}"/>
    <cellStyle name="SAPBEXstdItem 2 2 5 3" xfId="19713" xr:uid="{00000000-0005-0000-0000-00001B4E0000}"/>
    <cellStyle name="SAPBEXstdItem 2 2 5 4" xfId="19714" xr:uid="{00000000-0005-0000-0000-00001C4E0000}"/>
    <cellStyle name="SAPBEXstdItem 2 2 5 5" xfId="19715" xr:uid="{00000000-0005-0000-0000-00001D4E0000}"/>
    <cellStyle name="SAPBEXstdItem 2 2 5 6" xfId="19716" xr:uid="{00000000-0005-0000-0000-00001E4E0000}"/>
    <cellStyle name="SAPBEXstdItem 2 2 6" xfId="19717" xr:uid="{00000000-0005-0000-0000-00001F4E0000}"/>
    <cellStyle name="SAPBEXstdItem 2 2 7" xfId="19718" xr:uid="{00000000-0005-0000-0000-0000204E0000}"/>
    <cellStyle name="SAPBEXstdItem 2 2 8" xfId="19719" xr:uid="{00000000-0005-0000-0000-0000214E0000}"/>
    <cellStyle name="SAPBEXstdItem 2 3" xfId="19720" xr:uid="{00000000-0005-0000-0000-0000224E0000}"/>
    <cellStyle name="SAPBEXstdItem 2 3 2" xfId="19721" xr:uid="{00000000-0005-0000-0000-0000234E0000}"/>
    <cellStyle name="SAPBEXstdItem 2 3 2 2" xfId="19722" xr:uid="{00000000-0005-0000-0000-0000244E0000}"/>
    <cellStyle name="SAPBEXstdItem 2 3 2 3" xfId="19723" xr:uid="{00000000-0005-0000-0000-0000254E0000}"/>
    <cellStyle name="SAPBEXstdItem 2 3 2 4" xfId="19724" xr:uid="{00000000-0005-0000-0000-0000264E0000}"/>
    <cellStyle name="SAPBEXstdItem 2 3 2 5" xfId="19725" xr:uid="{00000000-0005-0000-0000-0000274E0000}"/>
    <cellStyle name="SAPBEXstdItem 2 3 2 6" xfId="19726" xr:uid="{00000000-0005-0000-0000-0000284E0000}"/>
    <cellStyle name="SAPBEXstdItem 2 3 3" xfId="19727" xr:uid="{00000000-0005-0000-0000-0000294E0000}"/>
    <cellStyle name="SAPBEXstdItem 2 3 3 2" xfId="19728" xr:uid="{00000000-0005-0000-0000-00002A4E0000}"/>
    <cellStyle name="SAPBEXstdItem 2 3 3 3" xfId="19729" xr:uid="{00000000-0005-0000-0000-00002B4E0000}"/>
    <cellStyle name="SAPBEXstdItem 2 3 3 4" xfId="19730" xr:uid="{00000000-0005-0000-0000-00002C4E0000}"/>
    <cellStyle name="SAPBEXstdItem 2 3 3 5" xfId="19731" xr:uid="{00000000-0005-0000-0000-00002D4E0000}"/>
    <cellStyle name="SAPBEXstdItem 2 3 3 6" xfId="19732" xr:uid="{00000000-0005-0000-0000-00002E4E0000}"/>
    <cellStyle name="SAPBEXstdItem 2 3 4" xfId="19733" xr:uid="{00000000-0005-0000-0000-00002F4E0000}"/>
    <cellStyle name="SAPBEXstdItem 2 3 4 2" xfId="19734" xr:uid="{00000000-0005-0000-0000-0000304E0000}"/>
    <cellStyle name="SAPBEXstdItem 2 3 4 3" xfId="19735" xr:uid="{00000000-0005-0000-0000-0000314E0000}"/>
    <cellStyle name="SAPBEXstdItem 2 3 4 4" xfId="19736" xr:uid="{00000000-0005-0000-0000-0000324E0000}"/>
    <cellStyle name="SAPBEXstdItem 2 3 4 5" xfId="19737" xr:uid="{00000000-0005-0000-0000-0000334E0000}"/>
    <cellStyle name="SAPBEXstdItem 2 3 4 6" xfId="19738" xr:uid="{00000000-0005-0000-0000-0000344E0000}"/>
    <cellStyle name="SAPBEXstdItem 2 3 5" xfId="19739" xr:uid="{00000000-0005-0000-0000-0000354E0000}"/>
    <cellStyle name="SAPBEXstdItem 2 3 5 2" xfId="19740" xr:uid="{00000000-0005-0000-0000-0000364E0000}"/>
    <cellStyle name="SAPBEXstdItem 2 3 5 3" xfId="19741" xr:uid="{00000000-0005-0000-0000-0000374E0000}"/>
    <cellStyle name="SAPBEXstdItem 2 3 5 4" xfId="19742" xr:uid="{00000000-0005-0000-0000-0000384E0000}"/>
    <cellStyle name="SAPBEXstdItem 2 3 5 5" xfId="19743" xr:uid="{00000000-0005-0000-0000-0000394E0000}"/>
    <cellStyle name="SAPBEXstdItem 2 3 5 6" xfId="19744" xr:uid="{00000000-0005-0000-0000-00003A4E0000}"/>
    <cellStyle name="SAPBEXstdItem 2 3 6" xfId="19745" xr:uid="{00000000-0005-0000-0000-00003B4E0000}"/>
    <cellStyle name="SAPBEXstdItem 2 3 7" xfId="19746" xr:uid="{00000000-0005-0000-0000-00003C4E0000}"/>
    <cellStyle name="SAPBEXstdItem 2 3 8" xfId="19747" xr:uid="{00000000-0005-0000-0000-00003D4E0000}"/>
    <cellStyle name="SAPBEXstdItem 2 4" xfId="19748" xr:uid="{00000000-0005-0000-0000-00003E4E0000}"/>
    <cellStyle name="SAPBEXstdItem 2 4 2" xfId="19749" xr:uid="{00000000-0005-0000-0000-00003F4E0000}"/>
    <cellStyle name="SAPBEXstdItem 2 4 2 2" xfId="19750" xr:uid="{00000000-0005-0000-0000-0000404E0000}"/>
    <cellStyle name="SAPBEXstdItem 2 4 2 3" xfId="19751" xr:uid="{00000000-0005-0000-0000-0000414E0000}"/>
    <cellStyle name="SAPBEXstdItem 2 4 2 4" xfId="19752" xr:uid="{00000000-0005-0000-0000-0000424E0000}"/>
    <cellStyle name="SAPBEXstdItem 2 4 2 5" xfId="19753" xr:uid="{00000000-0005-0000-0000-0000434E0000}"/>
    <cellStyle name="SAPBEXstdItem 2 4 2 6" xfId="19754" xr:uid="{00000000-0005-0000-0000-0000444E0000}"/>
    <cellStyle name="SAPBEXstdItem 2 4 3" xfId="19755" xr:uid="{00000000-0005-0000-0000-0000454E0000}"/>
    <cellStyle name="SAPBEXstdItem 2 4 3 2" xfId="19756" xr:uid="{00000000-0005-0000-0000-0000464E0000}"/>
    <cellStyle name="SAPBEXstdItem 2 4 3 3" xfId="19757" xr:uid="{00000000-0005-0000-0000-0000474E0000}"/>
    <cellStyle name="SAPBEXstdItem 2 4 3 4" xfId="19758" xr:uid="{00000000-0005-0000-0000-0000484E0000}"/>
    <cellStyle name="SAPBEXstdItem 2 4 3 5" xfId="19759" xr:uid="{00000000-0005-0000-0000-0000494E0000}"/>
    <cellStyle name="SAPBEXstdItem 2 4 3 6" xfId="19760" xr:uid="{00000000-0005-0000-0000-00004A4E0000}"/>
    <cellStyle name="SAPBEXstdItem 2 4 4" xfId="19761" xr:uid="{00000000-0005-0000-0000-00004B4E0000}"/>
    <cellStyle name="SAPBEXstdItem 2 4 4 2" xfId="19762" xr:uid="{00000000-0005-0000-0000-00004C4E0000}"/>
    <cellStyle name="SAPBEXstdItem 2 4 4 3" xfId="19763" xr:uid="{00000000-0005-0000-0000-00004D4E0000}"/>
    <cellStyle name="SAPBEXstdItem 2 4 4 4" xfId="19764" xr:uid="{00000000-0005-0000-0000-00004E4E0000}"/>
    <cellStyle name="SAPBEXstdItem 2 4 4 5" xfId="19765" xr:uid="{00000000-0005-0000-0000-00004F4E0000}"/>
    <cellStyle name="SAPBEXstdItem 2 4 4 6" xfId="19766" xr:uid="{00000000-0005-0000-0000-0000504E0000}"/>
    <cellStyle name="SAPBEXstdItem 2 4 5" xfId="19767" xr:uid="{00000000-0005-0000-0000-0000514E0000}"/>
    <cellStyle name="SAPBEXstdItem 2 4 5 2" xfId="19768" xr:uid="{00000000-0005-0000-0000-0000524E0000}"/>
    <cellStyle name="SAPBEXstdItem 2 4 5 3" xfId="19769" xr:uid="{00000000-0005-0000-0000-0000534E0000}"/>
    <cellStyle name="SAPBEXstdItem 2 4 5 4" xfId="19770" xr:uid="{00000000-0005-0000-0000-0000544E0000}"/>
    <cellStyle name="SAPBEXstdItem 2 4 5 5" xfId="19771" xr:uid="{00000000-0005-0000-0000-0000554E0000}"/>
    <cellStyle name="SAPBEXstdItem 2 4 5 6" xfId="19772" xr:uid="{00000000-0005-0000-0000-0000564E0000}"/>
    <cellStyle name="SAPBEXstdItem 2 4 6" xfId="19773" xr:uid="{00000000-0005-0000-0000-0000574E0000}"/>
    <cellStyle name="SAPBEXstdItem 2 4 7" xfId="19774" xr:uid="{00000000-0005-0000-0000-0000584E0000}"/>
    <cellStyle name="SAPBEXstdItem 2 4 8" xfId="19775" xr:uid="{00000000-0005-0000-0000-0000594E0000}"/>
    <cellStyle name="SAPBEXstdItem 2 5" xfId="19776" xr:uid="{00000000-0005-0000-0000-00005A4E0000}"/>
    <cellStyle name="SAPBEXstdItem 2 5 2" xfId="19777" xr:uid="{00000000-0005-0000-0000-00005B4E0000}"/>
    <cellStyle name="SAPBEXstdItem 2 5 3" xfId="19778" xr:uid="{00000000-0005-0000-0000-00005C4E0000}"/>
    <cellStyle name="SAPBEXstdItem 2 5 4" xfId="19779" xr:uid="{00000000-0005-0000-0000-00005D4E0000}"/>
    <cellStyle name="SAPBEXstdItem 2 6" xfId="19780" xr:uid="{00000000-0005-0000-0000-00005E4E0000}"/>
    <cellStyle name="SAPBEXstdItem 2 6 2" xfId="19781" xr:uid="{00000000-0005-0000-0000-00005F4E0000}"/>
    <cellStyle name="SAPBEXstdItem 2 6 3" xfId="19782" xr:uid="{00000000-0005-0000-0000-0000604E0000}"/>
    <cellStyle name="SAPBEXstdItem 2 6 4" xfId="19783" xr:uid="{00000000-0005-0000-0000-0000614E0000}"/>
    <cellStyle name="SAPBEXstdItem 2 7" xfId="19784" xr:uid="{00000000-0005-0000-0000-0000624E0000}"/>
    <cellStyle name="SAPBEXstdItem 2 7 2" xfId="19785" xr:uid="{00000000-0005-0000-0000-0000634E0000}"/>
    <cellStyle name="SAPBEXstdItem 2 7 3" xfId="19786" xr:uid="{00000000-0005-0000-0000-0000644E0000}"/>
    <cellStyle name="SAPBEXstdItem 2 7 4" xfId="19787" xr:uid="{00000000-0005-0000-0000-0000654E0000}"/>
    <cellStyle name="SAPBEXstdItem 2 8" xfId="19788" xr:uid="{00000000-0005-0000-0000-0000664E0000}"/>
    <cellStyle name="SAPBEXstdItem 2 8 2" xfId="19789" xr:uid="{00000000-0005-0000-0000-0000674E0000}"/>
    <cellStyle name="SAPBEXstdItem 2 8 3" xfId="19790" xr:uid="{00000000-0005-0000-0000-0000684E0000}"/>
    <cellStyle name="SAPBEXstdItem 2 8 4" xfId="19791" xr:uid="{00000000-0005-0000-0000-0000694E0000}"/>
    <cellStyle name="SAPBEXstdItem 2 9" xfId="19792" xr:uid="{00000000-0005-0000-0000-00006A4E0000}"/>
    <cellStyle name="SAPBEXstdItem 2 9 2" xfId="19793" xr:uid="{00000000-0005-0000-0000-00006B4E0000}"/>
    <cellStyle name="SAPBEXstdItem 2 9 3" xfId="19794" xr:uid="{00000000-0005-0000-0000-00006C4E0000}"/>
    <cellStyle name="SAPBEXstdItem 2 9 4" xfId="19795" xr:uid="{00000000-0005-0000-0000-00006D4E0000}"/>
    <cellStyle name="SAPBEXstdItem 2_2009 12 09 Cash flow (2009)" xfId="19796" xr:uid="{00000000-0005-0000-0000-00006E4E0000}"/>
    <cellStyle name="SAPBEXstdItem 20" xfId="19797" xr:uid="{00000000-0005-0000-0000-00006F4E0000}"/>
    <cellStyle name="SAPBEXstdItem 20 2" xfId="19798" xr:uid="{00000000-0005-0000-0000-0000704E0000}"/>
    <cellStyle name="SAPBEXstdItem 20 3" xfId="19799" xr:uid="{00000000-0005-0000-0000-0000714E0000}"/>
    <cellStyle name="SAPBEXstdItem 20 4" xfId="19800" xr:uid="{00000000-0005-0000-0000-0000724E0000}"/>
    <cellStyle name="SAPBEXstdItem 20 5" xfId="19801" xr:uid="{00000000-0005-0000-0000-0000734E0000}"/>
    <cellStyle name="SAPBEXstdItem 20 6" xfId="19802" xr:uid="{00000000-0005-0000-0000-0000744E0000}"/>
    <cellStyle name="SAPBEXstdItem 21" xfId="19803" xr:uid="{00000000-0005-0000-0000-0000754E0000}"/>
    <cellStyle name="SAPBEXstdItem 21 2" xfId="19804" xr:uid="{00000000-0005-0000-0000-0000764E0000}"/>
    <cellStyle name="SAPBEXstdItem 21 3" xfId="19805" xr:uid="{00000000-0005-0000-0000-0000774E0000}"/>
    <cellStyle name="SAPBEXstdItem 21 4" xfId="19806" xr:uid="{00000000-0005-0000-0000-0000784E0000}"/>
    <cellStyle name="SAPBEXstdItem 21 5" xfId="19807" xr:uid="{00000000-0005-0000-0000-0000794E0000}"/>
    <cellStyle name="SAPBEXstdItem 21 6" xfId="19808" xr:uid="{00000000-0005-0000-0000-00007A4E0000}"/>
    <cellStyle name="SAPBEXstdItem 22" xfId="19809" xr:uid="{00000000-0005-0000-0000-00007B4E0000}"/>
    <cellStyle name="SAPBEXstdItem 22 2" xfId="19810" xr:uid="{00000000-0005-0000-0000-00007C4E0000}"/>
    <cellStyle name="SAPBEXstdItem 22 3" xfId="19811" xr:uid="{00000000-0005-0000-0000-00007D4E0000}"/>
    <cellStyle name="SAPBEXstdItem 22 4" xfId="19812" xr:uid="{00000000-0005-0000-0000-00007E4E0000}"/>
    <cellStyle name="SAPBEXstdItem 22 5" xfId="19813" xr:uid="{00000000-0005-0000-0000-00007F4E0000}"/>
    <cellStyle name="SAPBEXstdItem 22 6" xfId="19814" xr:uid="{00000000-0005-0000-0000-0000804E0000}"/>
    <cellStyle name="SAPBEXstdItem 23" xfId="19815" xr:uid="{00000000-0005-0000-0000-0000814E0000}"/>
    <cellStyle name="SAPBEXstdItem 23 2" xfId="19816" xr:uid="{00000000-0005-0000-0000-0000824E0000}"/>
    <cellStyle name="SAPBEXstdItem 23 3" xfId="19817" xr:uid="{00000000-0005-0000-0000-0000834E0000}"/>
    <cellStyle name="SAPBEXstdItem 23 4" xfId="19818" xr:uid="{00000000-0005-0000-0000-0000844E0000}"/>
    <cellStyle name="SAPBEXstdItem 23 5" xfId="19819" xr:uid="{00000000-0005-0000-0000-0000854E0000}"/>
    <cellStyle name="SAPBEXstdItem 23 6" xfId="19820" xr:uid="{00000000-0005-0000-0000-0000864E0000}"/>
    <cellStyle name="SAPBEXstdItem 24" xfId="19821" xr:uid="{00000000-0005-0000-0000-0000874E0000}"/>
    <cellStyle name="SAPBEXstdItem 24 2" xfId="19822" xr:uid="{00000000-0005-0000-0000-0000884E0000}"/>
    <cellStyle name="SAPBEXstdItem 24 3" xfId="19823" xr:uid="{00000000-0005-0000-0000-0000894E0000}"/>
    <cellStyle name="SAPBEXstdItem 24 4" xfId="19824" xr:uid="{00000000-0005-0000-0000-00008A4E0000}"/>
    <cellStyle name="SAPBEXstdItem 24 5" xfId="19825" xr:uid="{00000000-0005-0000-0000-00008B4E0000}"/>
    <cellStyle name="SAPBEXstdItem 24 6" xfId="19826" xr:uid="{00000000-0005-0000-0000-00008C4E0000}"/>
    <cellStyle name="SAPBEXstdItem 25" xfId="19827" xr:uid="{00000000-0005-0000-0000-00008D4E0000}"/>
    <cellStyle name="SAPBEXstdItem 25 2" xfId="19828" xr:uid="{00000000-0005-0000-0000-00008E4E0000}"/>
    <cellStyle name="SAPBEXstdItem 25 3" xfId="19829" xr:uid="{00000000-0005-0000-0000-00008F4E0000}"/>
    <cellStyle name="SAPBEXstdItem 25 4" xfId="19830" xr:uid="{00000000-0005-0000-0000-0000904E0000}"/>
    <cellStyle name="SAPBEXstdItem 25 5" xfId="19831" xr:uid="{00000000-0005-0000-0000-0000914E0000}"/>
    <cellStyle name="SAPBEXstdItem 25 6" xfId="19832" xr:uid="{00000000-0005-0000-0000-0000924E0000}"/>
    <cellStyle name="SAPBEXstdItem 26" xfId="19833" xr:uid="{00000000-0005-0000-0000-0000934E0000}"/>
    <cellStyle name="SAPBEXstdItem 26 2" xfId="19834" xr:uid="{00000000-0005-0000-0000-0000944E0000}"/>
    <cellStyle name="SAPBEXstdItem 26 3" xfId="19835" xr:uid="{00000000-0005-0000-0000-0000954E0000}"/>
    <cellStyle name="SAPBEXstdItem 26 4" xfId="19836" xr:uid="{00000000-0005-0000-0000-0000964E0000}"/>
    <cellStyle name="SAPBEXstdItem 26 5" xfId="19837" xr:uid="{00000000-0005-0000-0000-0000974E0000}"/>
    <cellStyle name="SAPBEXstdItem 26 6" xfId="19838" xr:uid="{00000000-0005-0000-0000-0000984E0000}"/>
    <cellStyle name="SAPBEXstdItem 27" xfId="19839" xr:uid="{00000000-0005-0000-0000-0000994E0000}"/>
    <cellStyle name="SAPBEXstdItem 27 2" xfId="19840" xr:uid="{00000000-0005-0000-0000-00009A4E0000}"/>
    <cellStyle name="SAPBEXstdItem 27 3" xfId="19841" xr:uid="{00000000-0005-0000-0000-00009B4E0000}"/>
    <cellStyle name="SAPBEXstdItem 27 4" xfId="19842" xr:uid="{00000000-0005-0000-0000-00009C4E0000}"/>
    <cellStyle name="SAPBEXstdItem 27 5" xfId="19843" xr:uid="{00000000-0005-0000-0000-00009D4E0000}"/>
    <cellStyle name="SAPBEXstdItem 27 6" xfId="19844" xr:uid="{00000000-0005-0000-0000-00009E4E0000}"/>
    <cellStyle name="SAPBEXstdItem 28" xfId="19845" xr:uid="{00000000-0005-0000-0000-00009F4E0000}"/>
    <cellStyle name="SAPBEXstdItem 28 2" xfId="19846" xr:uid="{00000000-0005-0000-0000-0000A04E0000}"/>
    <cellStyle name="SAPBEXstdItem 28 3" xfId="19847" xr:uid="{00000000-0005-0000-0000-0000A14E0000}"/>
    <cellStyle name="SAPBEXstdItem 28 4" xfId="19848" xr:uid="{00000000-0005-0000-0000-0000A24E0000}"/>
    <cellStyle name="SAPBEXstdItem 28 5" xfId="19849" xr:uid="{00000000-0005-0000-0000-0000A34E0000}"/>
    <cellStyle name="SAPBEXstdItem 28 6" xfId="19850" xr:uid="{00000000-0005-0000-0000-0000A44E0000}"/>
    <cellStyle name="SAPBEXstdItem 29" xfId="19851" xr:uid="{00000000-0005-0000-0000-0000A54E0000}"/>
    <cellStyle name="SAPBEXstdItem 29 2" xfId="19852" xr:uid="{00000000-0005-0000-0000-0000A64E0000}"/>
    <cellStyle name="SAPBEXstdItem 29 3" xfId="19853" xr:uid="{00000000-0005-0000-0000-0000A74E0000}"/>
    <cellStyle name="SAPBEXstdItem 29 4" xfId="19854" xr:uid="{00000000-0005-0000-0000-0000A84E0000}"/>
    <cellStyle name="SAPBEXstdItem 29 5" xfId="19855" xr:uid="{00000000-0005-0000-0000-0000A94E0000}"/>
    <cellStyle name="SAPBEXstdItem 29 6" xfId="19856" xr:uid="{00000000-0005-0000-0000-0000AA4E0000}"/>
    <cellStyle name="SAPBEXstdItem 3" xfId="19857" xr:uid="{00000000-0005-0000-0000-0000AB4E0000}"/>
    <cellStyle name="SAPBEXstdItem 3 10" xfId="19858" xr:uid="{00000000-0005-0000-0000-0000AC4E0000}"/>
    <cellStyle name="SAPBEXstdItem 3 11" xfId="19859" xr:uid="{00000000-0005-0000-0000-0000AD4E0000}"/>
    <cellStyle name="SAPBEXstdItem 3 12" xfId="19860" xr:uid="{00000000-0005-0000-0000-0000AE4E0000}"/>
    <cellStyle name="SAPBEXstdItem 3 13" xfId="28041" xr:uid="{00000000-0005-0000-0000-0000AF4E0000}"/>
    <cellStyle name="SAPBEXstdItem 3 2" xfId="19861" xr:uid="{00000000-0005-0000-0000-0000B04E0000}"/>
    <cellStyle name="SAPBEXstdItem 3 2 2" xfId="19862" xr:uid="{00000000-0005-0000-0000-0000B14E0000}"/>
    <cellStyle name="SAPBEXstdItem 3 2 2 2" xfId="19863" xr:uid="{00000000-0005-0000-0000-0000B24E0000}"/>
    <cellStyle name="SAPBEXstdItem 3 2 2 3" xfId="19864" xr:uid="{00000000-0005-0000-0000-0000B34E0000}"/>
    <cellStyle name="SAPBEXstdItem 3 2 2 4" xfId="19865" xr:uid="{00000000-0005-0000-0000-0000B44E0000}"/>
    <cellStyle name="SAPBEXstdItem 3 2 2 5" xfId="19866" xr:uid="{00000000-0005-0000-0000-0000B54E0000}"/>
    <cellStyle name="SAPBEXstdItem 3 2 2 6" xfId="19867" xr:uid="{00000000-0005-0000-0000-0000B64E0000}"/>
    <cellStyle name="SAPBEXstdItem 3 2 3" xfId="19868" xr:uid="{00000000-0005-0000-0000-0000B74E0000}"/>
    <cellStyle name="SAPBEXstdItem 3 2 3 2" xfId="19869" xr:uid="{00000000-0005-0000-0000-0000B84E0000}"/>
    <cellStyle name="SAPBEXstdItem 3 2 3 3" xfId="19870" xr:uid="{00000000-0005-0000-0000-0000B94E0000}"/>
    <cellStyle name="SAPBEXstdItem 3 2 3 4" xfId="19871" xr:uid="{00000000-0005-0000-0000-0000BA4E0000}"/>
    <cellStyle name="SAPBEXstdItem 3 2 3 5" xfId="19872" xr:uid="{00000000-0005-0000-0000-0000BB4E0000}"/>
    <cellStyle name="SAPBEXstdItem 3 2 3 6" xfId="19873" xr:uid="{00000000-0005-0000-0000-0000BC4E0000}"/>
    <cellStyle name="SAPBEXstdItem 3 2 4" xfId="19874" xr:uid="{00000000-0005-0000-0000-0000BD4E0000}"/>
    <cellStyle name="SAPBEXstdItem 3 2 4 2" xfId="19875" xr:uid="{00000000-0005-0000-0000-0000BE4E0000}"/>
    <cellStyle name="SAPBEXstdItem 3 2 4 3" xfId="19876" xr:uid="{00000000-0005-0000-0000-0000BF4E0000}"/>
    <cellStyle name="SAPBEXstdItem 3 2 4 4" xfId="19877" xr:uid="{00000000-0005-0000-0000-0000C04E0000}"/>
    <cellStyle name="SAPBEXstdItem 3 2 4 5" xfId="19878" xr:uid="{00000000-0005-0000-0000-0000C14E0000}"/>
    <cellStyle name="SAPBEXstdItem 3 2 4 6" xfId="19879" xr:uid="{00000000-0005-0000-0000-0000C24E0000}"/>
    <cellStyle name="SAPBEXstdItem 3 2 5" xfId="19880" xr:uid="{00000000-0005-0000-0000-0000C34E0000}"/>
    <cellStyle name="SAPBEXstdItem 3 2 5 2" xfId="19881" xr:uid="{00000000-0005-0000-0000-0000C44E0000}"/>
    <cellStyle name="SAPBEXstdItem 3 2 5 3" xfId="19882" xr:uid="{00000000-0005-0000-0000-0000C54E0000}"/>
    <cellStyle name="SAPBEXstdItem 3 2 5 4" xfId="19883" xr:uid="{00000000-0005-0000-0000-0000C64E0000}"/>
    <cellStyle name="SAPBEXstdItem 3 2 5 5" xfId="19884" xr:uid="{00000000-0005-0000-0000-0000C74E0000}"/>
    <cellStyle name="SAPBEXstdItem 3 2 5 6" xfId="19885" xr:uid="{00000000-0005-0000-0000-0000C84E0000}"/>
    <cellStyle name="SAPBEXstdItem 3 2 6" xfId="19886" xr:uid="{00000000-0005-0000-0000-0000C94E0000}"/>
    <cellStyle name="SAPBEXstdItem 3 2 7" xfId="19887" xr:uid="{00000000-0005-0000-0000-0000CA4E0000}"/>
    <cellStyle name="SAPBEXstdItem 3 2 8" xfId="19888" xr:uid="{00000000-0005-0000-0000-0000CB4E0000}"/>
    <cellStyle name="SAPBEXstdItem 3 3" xfId="19889" xr:uid="{00000000-0005-0000-0000-0000CC4E0000}"/>
    <cellStyle name="SAPBEXstdItem 3 3 2" xfId="19890" xr:uid="{00000000-0005-0000-0000-0000CD4E0000}"/>
    <cellStyle name="SAPBEXstdItem 3 3 3" xfId="19891" xr:uid="{00000000-0005-0000-0000-0000CE4E0000}"/>
    <cellStyle name="SAPBEXstdItem 3 3 4" xfId="19892" xr:uid="{00000000-0005-0000-0000-0000CF4E0000}"/>
    <cellStyle name="SAPBEXstdItem 3 3 5" xfId="19893" xr:uid="{00000000-0005-0000-0000-0000D04E0000}"/>
    <cellStyle name="SAPBEXstdItem 3 3 6" xfId="19894" xr:uid="{00000000-0005-0000-0000-0000D14E0000}"/>
    <cellStyle name="SAPBEXstdItem 3 4" xfId="19895" xr:uid="{00000000-0005-0000-0000-0000D24E0000}"/>
    <cellStyle name="SAPBEXstdItem 3 4 2" xfId="19896" xr:uid="{00000000-0005-0000-0000-0000D34E0000}"/>
    <cellStyle name="SAPBEXstdItem 3 4 3" xfId="19897" xr:uid="{00000000-0005-0000-0000-0000D44E0000}"/>
    <cellStyle name="SAPBEXstdItem 3 4 4" xfId="19898" xr:uid="{00000000-0005-0000-0000-0000D54E0000}"/>
    <cellStyle name="SAPBEXstdItem 3 4 5" xfId="19899" xr:uid="{00000000-0005-0000-0000-0000D64E0000}"/>
    <cellStyle name="SAPBEXstdItem 3 4 6" xfId="19900" xr:uid="{00000000-0005-0000-0000-0000D74E0000}"/>
    <cellStyle name="SAPBEXstdItem 3 5" xfId="19901" xr:uid="{00000000-0005-0000-0000-0000D84E0000}"/>
    <cellStyle name="SAPBEXstdItem 3 5 2" xfId="19902" xr:uid="{00000000-0005-0000-0000-0000D94E0000}"/>
    <cellStyle name="SAPBEXstdItem 3 5 3" xfId="19903" xr:uid="{00000000-0005-0000-0000-0000DA4E0000}"/>
    <cellStyle name="SAPBEXstdItem 3 5 4" xfId="19904" xr:uid="{00000000-0005-0000-0000-0000DB4E0000}"/>
    <cellStyle name="SAPBEXstdItem 3 6" xfId="19905" xr:uid="{00000000-0005-0000-0000-0000DC4E0000}"/>
    <cellStyle name="SAPBEXstdItem 3 6 2" xfId="19906" xr:uid="{00000000-0005-0000-0000-0000DD4E0000}"/>
    <cellStyle name="SAPBEXstdItem 3 6 3" xfId="19907" xr:uid="{00000000-0005-0000-0000-0000DE4E0000}"/>
    <cellStyle name="SAPBEXstdItem 3 6 4" xfId="19908" xr:uid="{00000000-0005-0000-0000-0000DF4E0000}"/>
    <cellStyle name="SAPBEXstdItem 3 7" xfId="19909" xr:uid="{00000000-0005-0000-0000-0000E04E0000}"/>
    <cellStyle name="SAPBEXstdItem 3 7 2" xfId="19910" xr:uid="{00000000-0005-0000-0000-0000E14E0000}"/>
    <cellStyle name="SAPBEXstdItem 3 7 3" xfId="19911" xr:uid="{00000000-0005-0000-0000-0000E24E0000}"/>
    <cellStyle name="SAPBEXstdItem 3 7 4" xfId="19912" xr:uid="{00000000-0005-0000-0000-0000E34E0000}"/>
    <cellStyle name="SAPBEXstdItem 3 8" xfId="19913" xr:uid="{00000000-0005-0000-0000-0000E44E0000}"/>
    <cellStyle name="SAPBEXstdItem 3 9" xfId="19914" xr:uid="{00000000-0005-0000-0000-0000E54E0000}"/>
    <cellStyle name="SAPBEXstdItem 30" xfId="19915" xr:uid="{00000000-0005-0000-0000-0000E64E0000}"/>
    <cellStyle name="SAPBEXstdItem 30 2" xfId="19916" xr:uid="{00000000-0005-0000-0000-0000E74E0000}"/>
    <cellStyle name="SAPBEXstdItem 30 3" xfId="19917" xr:uid="{00000000-0005-0000-0000-0000E84E0000}"/>
    <cellStyle name="SAPBEXstdItem 30 4" xfId="19918" xr:uid="{00000000-0005-0000-0000-0000E94E0000}"/>
    <cellStyle name="SAPBEXstdItem 30 5" xfId="19919" xr:uid="{00000000-0005-0000-0000-0000EA4E0000}"/>
    <cellStyle name="SAPBEXstdItem 30 6" xfId="19920" xr:uid="{00000000-0005-0000-0000-0000EB4E0000}"/>
    <cellStyle name="SAPBEXstdItem 31" xfId="19921" xr:uid="{00000000-0005-0000-0000-0000EC4E0000}"/>
    <cellStyle name="SAPBEXstdItem 31 2" xfId="19922" xr:uid="{00000000-0005-0000-0000-0000ED4E0000}"/>
    <cellStyle name="SAPBEXstdItem 31 3" xfId="19923" xr:uid="{00000000-0005-0000-0000-0000EE4E0000}"/>
    <cellStyle name="SAPBEXstdItem 31 4" xfId="19924" xr:uid="{00000000-0005-0000-0000-0000EF4E0000}"/>
    <cellStyle name="SAPBEXstdItem 31 5" xfId="19925" xr:uid="{00000000-0005-0000-0000-0000F04E0000}"/>
    <cellStyle name="SAPBEXstdItem 31 6" xfId="19926" xr:uid="{00000000-0005-0000-0000-0000F14E0000}"/>
    <cellStyle name="SAPBEXstdItem 32" xfId="19927" xr:uid="{00000000-0005-0000-0000-0000F24E0000}"/>
    <cellStyle name="SAPBEXstdItem 32 2" xfId="19928" xr:uid="{00000000-0005-0000-0000-0000F34E0000}"/>
    <cellStyle name="SAPBEXstdItem 32 3" xfId="19929" xr:uid="{00000000-0005-0000-0000-0000F44E0000}"/>
    <cellStyle name="SAPBEXstdItem 32 4" xfId="19930" xr:uid="{00000000-0005-0000-0000-0000F54E0000}"/>
    <cellStyle name="SAPBEXstdItem 32 5" xfId="19931" xr:uid="{00000000-0005-0000-0000-0000F64E0000}"/>
    <cellStyle name="SAPBEXstdItem 32 6" xfId="19932" xr:uid="{00000000-0005-0000-0000-0000F74E0000}"/>
    <cellStyle name="SAPBEXstdItem 33" xfId="19933" xr:uid="{00000000-0005-0000-0000-0000F84E0000}"/>
    <cellStyle name="SAPBEXstdItem 34" xfId="19934" xr:uid="{00000000-0005-0000-0000-0000F94E0000}"/>
    <cellStyle name="SAPBEXstdItem 35" xfId="19935" xr:uid="{00000000-0005-0000-0000-0000FA4E0000}"/>
    <cellStyle name="SAPBEXstdItem 36" xfId="19936" xr:uid="{00000000-0005-0000-0000-0000FB4E0000}"/>
    <cellStyle name="SAPBEXstdItem 37" xfId="19937" xr:uid="{00000000-0005-0000-0000-0000FC4E0000}"/>
    <cellStyle name="SAPBEXstdItem 38" xfId="19938" xr:uid="{00000000-0005-0000-0000-0000FD4E0000}"/>
    <cellStyle name="SAPBEXstdItem 39" xfId="19939" xr:uid="{00000000-0005-0000-0000-0000FE4E0000}"/>
    <cellStyle name="SAPBEXstdItem 4" xfId="15" xr:uid="{00000000-0005-0000-0000-0000FF4E0000}"/>
    <cellStyle name="SAPBEXstdItem 4 2" xfId="19940" xr:uid="{00000000-0005-0000-0000-0000004F0000}"/>
    <cellStyle name="SAPBEXstdItem 4 3" xfId="19941" xr:uid="{00000000-0005-0000-0000-0000014F0000}"/>
    <cellStyle name="SAPBEXstdItem 4 4" xfId="19942" xr:uid="{00000000-0005-0000-0000-0000024F0000}"/>
    <cellStyle name="SAPBEXstdItem 4 5" xfId="19943" xr:uid="{00000000-0005-0000-0000-0000034F0000}"/>
    <cellStyle name="SAPBEXstdItem 4 6" xfId="19944" xr:uid="{00000000-0005-0000-0000-0000044F0000}"/>
    <cellStyle name="SAPBEXstdItem 4 7" xfId="19945" xr:uid="{00000000-0005-0000-0000-0000054F0000}"/>
    <cellStyle name="SAPBEXstdItem 40" xfId="19946" xr:uid="{00000000-0005-0000-0000-0000064F0000}"/>
    <cellStyle name="SAPBEXstdItem 41" xfId="19947" xr:uid="{00000000-0005-0000-0000-0000074F0000}"/>
    <cellStyle name="SAPBEXstdItem 42" xfId="19948" xr:uid="{00000000-0005-0000-0000-0000084F0000}"/>
    <cellStyle name="SAPBEXstdItem 43" xfId="19949" xr:uid="{00000000-0005-0000-0000-0000094F0000}"/>
    <cellStyle name="SAPBEXstdItem 44" xfId="19950" xr:uid="{00000000-0005-0000-0000-00000A4F0000}"/>
    <cellStyle name="SAPBEXstdItem 45" xfId="19951" xr:uid="{00000000-0005-0000-0000-00000B4F0000}"/>
    <cellStyle name="SAPBEXstdItem 46" xfId="19952" xr:uid="{00000000-0005-0000-0000-00000C4F0000}"/>
    <cellStyle name="SAPBEXstdItem 47" xfId="19953" xr:uid="{00000000-0005-0000-0000-00000D4F0000}"/>
    <cellStyle name="SAPBEXstdItem 48" xfId="19954" xr:uid="{00000000-0005-0000-0000-00000E4F0000}"/>
    <cellStyle name="SAPBEXstdItem 49" xfId="19955" xr:uid="{00000000-0005-0000-0000-00000F4F0000}"/>
    <cellStyle name="SAPBEXstdItem 5" xfId="19956" xr:uid="{00000000-0005-0000-0000-0000104F0000}"/>
    <cellStyle name="SAPBEXstdItem 5 2" xfId="19957" xr:uid="{00000000-0005-0000-0000-0000114F0000}"/>
    <cellStyle name="SAPBEXstdItem 5 3" xfId="19958" xr:uid="{00000000-0005-0000-0000-0000124F0000}"/>
    <cellStyle name="SAPBEXstdItem 5 4" xfId="19959" xr:uid="{00000000-0005-0000-0000-0000134F0000}"/>
    <cellStyle name="SAPBEXstdItem 5 5" xfId="19960" xr:uid="{00000000-0005-0000-0000-0000144F0000}"/>
    <cellStyle name="SAPBEXstdItem 5 6" xfId="19961" xr:uid="{00000000-0005-0000-0000-0000154F0000}"/>
    <cellStyle name="SAPBEXstdItem 50" xfId="19962" xr:uid="{00000000-0005-0000-0000-0000164F0000}"/>
    <cellStyle name="SAPBEXstdItem 51" xfId="19963" xr:uid="{00000000-0005-0000-0000-0000174F0000}"/>
    <cellStyle name="SAPBEXstdItem 52" xfId="19964" xr:uid="{00000000-0005-0000-0000-0000184F0000}"/>
    <cellStyle name="SAPBEXstdItem 53" xfId="19965" xr:uid="{00000000-0005-0000-0000-0000194F0000}"/>
    <cellStyle name="SAPBEXstdItem 54" xfId="19966" xr:uid="{00000000-0005-0000-0000-00001A4F0000}"/>
    <cellStyle name="SAPBEXstdItem 55" xfId="19967" xr:uid="{00000000-0005-0000-0000-00001B4F0000}"/>
    <cellStyle name="SAPBEXstdItem 56" xfId="19968" xr:uid="{00000000-0005-0000-0000-00001C4F0000}"/>
    <cellStyle name="SAPBEXstdItem 57" xfId="19969" xr:uid="{00000000-0005-0000-0000-00001D4F0000}"/>
    <cellStyle name="SAPBEXstdItem 58" xfId="19970" xr:uid="{00000000-0005-0000-0000-00001E4F0000}"/>
    <cellStyle name="SAPBEXstdItem 59" xfId="19971" xr:uid="{00000000-0005-0000-0000-00001F4F0000}"/>
    <cellStyle name="SAPBEXstdItem 6" xfId="19972" xr:uid="{00000000-0005-0000-0000-0000204F0000}"/>
    <cellStyle name="SAPBEXstdItem 6 10" xfId="19973" xr:uid="{00000000-0005-0000-0000-0000214F0000}"/>
    <cellStyle name="SAPBEXstdItem 6 2" xfId="19974" xr:uid="{00000000-0005-0000-0000-0000224F0000}"/>
    <cellStyle name="SAPBEXstdItem 6 2 2" xfId="19975" xr:uid="{00000000-0005-0000-0000-0000234F0000}"/>
    <cellStyle name="SAPBEXstdItem 6 2 3" xfId="19976" xr:uid="{00000000-0005-0000-0000-0000244F0000}"/>
    <cellStyle name="SAPBEXstdItem 6 2 4" xfId="19977" xr:uid="{00000000-0005-0000-0000-0000254F0000}"/>
    <cellStyle name="SAPBEXstdItem 6 3" xfId="19978" xr:uid="{00000000-0005-0000-0000-0000264F0000}"/>
    <cellStyle name="SAPBEXstdItem 6 3 2" xfId="19979" xr:uid="{00000000-0005-0000-0000-0000274F0000}"/>
    <cellStyle name="SAPBEXstdItem 6 3 3" xfId="19980" xr:uid="{00000000-0005-0000-0000-0000284F0000}"/>
    <cellStyle name="SAPBEXstdItem 6 3 4" xfId="19981" xr:uid="{00000000-0005-0000-0000-0000294F0000}"/>
    <cellStyle name="SAPBEXstdItem 6 4" xfId="19982" xr:uid="{00000000-0005-0000-0000-00002A4F0000}"/>
    <cellStyle name="SAPBEXstdItem 6 4 2" xfId="19983" xr:uid="{00000000-0005-0000-0000-00002B4F0000}"/>
    <cellStyle name="SAPBEXstdItem 6 4 3" xfId="19984" xr:uid="{00000000-0005-0000-0000-00002C4F0000}"/>
    <cellStyle name="SAPBEXstdItem 6 4 4" xfId="19985" xr:uid="{00000000-0005-0000-0000-00002D4F0000}"/>
    <cellStyle name="SAPBEXstdItem 6 5" xfId="19986" xr:uid="{00000000-0005-0000-0000-00002E4F0000}"/>
    <cellStyle name="SAPBEXstdItem 6 5 2" xfId="19987" xr:uid="{00000000-0005-0000-0000-00002F4F0000}"/>
    <cellStyle name="SAPBEXstdItem 6 5 3" xfId="19988" xr:uid="{00000000-0005-0000-0000-0000304F0000}"/>
    <cellStyle name="SAPBEXstdItem 6 5 4" xfId="19989" xr:uid="{00000000-0005-0000-0000-0000314F0000}"/>
    <cellStyle name="SAPBEXstdItem 6 6" xfId="19990" xr:uid="{00000000-0005-0000-0000-0000324F0000}"/>
    <cellStyle name="SAPBEXstdItem 6 7" xfId="19991" xr:uid="{00000000-0005-0000-0000-0000334F0000}"/>
    <cellStyle name="SAPBEXstdItem 6 8" xfId="19992" xr:uid="{00000000-0005-0000-0000-0000344F0000}"/>
    <cellStyle name="SAPBEXstdItem 6 9" xfId="19993" xr:uid="{00000000-0005-0000-0000-0000354F0000}"/>
    <cellStyle name="SAPBEXstdItem 60" xfId="19994" xr:uid="{00000000-0005-0000-0000-0000364F0000}"/>
    <cellStyle name="SAPBEXstdItem 61" xfId="19995" xr:uid="{00000000-0005-0000-0000-0000374F0000}"/>
    <cellStyle name="SAPBEXstdItem 62" xfId="19996" xr:uid="{00000000-0005-0000-0000-0000384F0000}"/>
    <cellStyle name="SAPBEXstdItem 63" xfId="19997" xr:uid="{00000000-0005-0000-0000-0000394F0000}"/>
    <cellStyle name="SAPBEXstdItem 64" xfId="19998" xr:uid="{00000000-0005-0000-0000-00003A4F0000}"/>
    <cellStyle name="SAPBEXstdItem 65" xfId="19999" xr:uid="{00000000-0005-0000-0000-00003B4F0000}"/>
    <cellStyle name="SAPBEXstdItem 66" xfId="20000" xr:uid="{00000000-0005-0000-0000-00003C4F0000}"/>
    <cellStyle name="SAPBEXstdItem 67" xfId="20001" xr:uid="{00000000-0005-0000-0000-00003D4F0000}"/>
    <cellStyle name="SAPBEXstdItem 68" xfId="20002" xr:uid="{00000000-0005-0000-0000-00003E4F0000}"/>
    <cellStyle name="SAPBEXstdItem 69" xfId="20003" xr:uid="{00000000-0005-0000-0000-00003F4F0000}"/>
    <cellStyle name="SAPBEXstdItem 7" xfId="20004" xr:uid="{00000000-0005-0000-0000-0000404F0000}"/>
    <cellStyle name="SAPBEXstdItem 7 10" xfId="20005" xr:uid="{00000000-0005-0000-0000-0000414F0000}"/>
    <cellStyle name="SAPBEXstdItem 7 2" xfId="20006" xr:uid="{00000000-0005-0000-0000-0000424F0000}"/>
    <cellStyle name="SAPBEXstdItem 7 2 2" xfId="20007" xr:uid="{00000000-0005-0000-0000-0000434F0000}"/>
    <cellStyle name="SAPBEXstdItem 7 2 3" xfId="20008" xr:uid="{00000000-0005-0000-0000-0000444F0000}"/>
    <cellStyle name="SAPBEXstdItem 7 2 4" xfId="20009" xr:uid="{00000000-0005-0000-0000-0000454F0000}"/>
    <cellStyle name="SAPBEXstdItem 7 3" xfId="20010" xr:uid="{00000000-0005-0000-0000-0000464F0000}"/>
    <cellStyle name="SAPBEXstdItem 7 3 2" xfId="20011" xr:uid="{00000000-0005-0000-0000-0000474F0000}"/>
    <cellStyle name="SAPBEXstdItem 7 3 3" xfId="20012" xr:uid="{00000000-0005-0000-0000-0000484F0000}"/>
    <cellStyle name="SAPBEXstdItem 7 3 4" xfId="20013" xr:uid="{00000000-0005-0000-0000-0000494F0000}"/>
    <cellStyle name="SAPBEXstdItem 7 4" xfId="20014" xr:uid="{00000000-0005-0000-0000-00004A4F0000}"/>
    <cellStyle name="SAPBEXstdItem 7 4 2" xfId="20015" xr:uid="{00000000-0005-0000-0000-00004B4F0000}"/>
    <cellStyle name="SAPBEXstdItem 7 4 3" xfId="20016" xr:uid="{00000000-0005-0000-0000-00004C4F0000}"/>
    <cellStyle name="SAPBEXstdItem 7 4 4" xfId="20017" xr:uid="{00000000-0005-0000-0000-00004D4F0000}"/>
    <cellStyle name="SAPBEXstdItem 7 5" xfId="20018" xr:uid="{00000000-0005-0000-0000-00004E4F0000}"/>
    <cellStyle name="SAPBEXstdItem 7 5 2" xfId="20019" xr:uid="{00000000-0005-0000-0000-00004F4F0000}"/>
    <cellStyle name="SAPBEXstdItem 7 5 3" xfId="20020" xr:uid="{00000000-0005-0000-0000-0000504F0000}"/>
    <cellStyle name="SAPBEXstdItem 7 5 4" xfId="20021" xr:uid="{00000000-0005-0000-0000-0000514F0000}"/>
    <cellStyle name="SAPBEXstdItem 7 6" xfId="20022" xr:uid="{00000000-0005-0000-0000-0000524F0000}"/>
    <cellStyle name="SAPBEXstdItem 7 7" xfId="20023" xr:uid="{00000000-0005-0000-0000-0000534F0000}"/>
    <cellStyle name="SAPBEXstdItem 7 8" xfId="20024" xr:uid="{00000000-0005-0000-0000-0000544F0000}"/>
    <cellStyle name="SAPBEXstdItem 7 9" xfId="20025" xr:uid="{00000000-0005-0000-0000-0000554F0000}"/>
    <cellStyle name="SAPBEXstdItem 70" xfId="20026" xr:uid="{00000000-0005-0000-0000-0000564F0000}"/>
    <cellStyle name="SAPBEXstdItem 71" xfId="20027" xr:uid="{00000000-0005-0000-0000-0000574F0000}"/>
    <cellStyle name="SAPBEXstdItem 72" xfId="20028" xr:uid="{00000000-0005-0000-0000-0000584F0000}"/>
    <cellStyle name="SAPBEXstdItem 73" xfId="20029" xr:uid="{00000000-0005-0000-0000-0000594F0000}"/>
    <cellStyle name="SAPBEXstdItem 74" xfId="20030" xr:uid="{00000000-0005-0000-0000-00005A4F0000}"/>
    <cellStyle name="SAPBEXstdItem 75" xfId="20031" xr:uid="{00000000-0005-0000-0000-00005B4F0000}"/>
    <cellStyle name="SAPBEXstdItem 76" xfId="20032" xr:uid="{00000000-0005-0000-0000-00005C4F0000}"/>
    <cellStyle name="SAPBEXstdItem 77" xfId="20033" xr:uid="{00000000-0005-0000-0000-00005D4F0000}"/>
    <cellStyle name="SAPBEXstdItem 78" xfId="20034" xr:uid="{00000000-0005-0000-0000-00005E4F0000}"/>
    <cellStyle name="SAPBEXstdItem 79" xfId="20035" xr:uid="{00000000-0005-0000-0000-00005F4F0000}"/>
    <cellStyle name="SAPBEXstdItem 8" xfId="20036" xr:uid="{00000000-0005-0000-0000-0000604F0000}"/>
    <cellStyle name="SAPBEXstdItem 8 2" xfId="20037" xr:uid="{00000000-0005-0000-0000-0000614F0000}"/>
    <cellStyle name="SAPBEXstdItem 8 3" xfId="20038" xr:uid="{00000000-0005-0000-0000-0000624F0000}"/>
    <cellStyle name="SAPBEXstdItem 8 4" xfId="20039" xr:uid="{00000000-0005-0000-0000-0000634F0000}"/>
    <cellStyle name="SAPBEXstdItem 8 5" xfId="20040" xr:uid="{00000000-0005-0000-0000-0000644F0000}"/>
    <cellStyle name="SAPBEXstdItem 8 6" xfId="20041" xr:uid="{00000000-0005-0000-0000-0000654F0000}"/>
    <cellStyle name="SAPBEXstdItem 80" xfId="20042" xr:uid="{00000000-0005-0000-0000-0000664F0000}"/>
    <cellStyle name="SAPBEXstdItem 81" xfId="20043" xr:uid="{00000000-0005-0000-0000-0000674F0000}"/>
    <cellStyle name="SAPBEXstdItem 82" xfId="20044" xr:uid="{00000000-0005-0000-0000-0000684F0000}"/>
    <cellStyle name="SAPBEXstdItem 83" xfId="20045" xr:uid="{00000000-0005-0000-0000-0000694F0000}"/>
    <cellStyle name="SAPBEXstdItem 84" xfId="20046" xr:uid="{00000000-0005-0000-0000-00006A4F0000}"/>
    <cellStyle name="SAPBEXstdItem 85" xfId="20047" xr:uid="{00000000-0005-0000-0000-00006B4F0000}"/>
    <cellStyle name="SAPBEXstdItem 86" xfId="20048" xr:uid="{00000000-0005-0000-0000-00006C4F0000}"/>
    <cellStyle name="SAPBEXstdItem 87" xfId="20049" xr:uid="{00000000-0005-0000-0000-00006D4F0000}"/>
    <cellStyle name="SAPBEXstdItem 88" xfId="20050" xr:uid="{00000000-0005-0000-0000-00006E4F0000}"/>
    <cellStyle name="SAPBEXstdItem 89" xfId="20051" xr:uid="{00000000-0005-0000-0000-00006F4F0000}"/>
    <cellStyle name="SAPBEXstdItem 9" xfId="20052" xr:uid="{00000000-0005-0000-0000-0000704F0000}"/>
    <cellStyle name="SAPBEXstdItem 9 2" xfId="20053" xr:uid="{00000000-0005-0000-0000-0000714F0000}"/>
    <cellStyle name="SAPBEXstdItem 9 3" xfId="20054" xr:uid="{00000000-0005-0000-0000-0000724F0000}"/>
    <cellStyle name="SAPBEXstdItem 9 4" xfId="20055" xr:uid="{00000000-0005-0000-0000-0000734F0000}"/>
    <cellStyle name="SAPBEXstdItem 9 5" xfId="20056" xr:uid="{00000000-0005-0000-0000-0000744F0000}"/>
    <cellStyle name="SAPBEXstdItem 9 6" xfId="20057" xr:uid="{00000000-0005-0000-0000-0000754F0000}"/>
    <cellStyle name="SAPBEXstdItem 90" xfId="20058" xr:uid="{00000000-0005-0000-0000-0000764F0000}"/>
    <cellStyle name="SAPBEXstdItem 91" xfId="20059" xr:uid="{00000000-0005-0000-0000-0000774F0000}"/>
    <cellStyle name="SAPBEXstdItem 92" xfId="20060" xr:uid="{00000000-0005-0000-0000-0000784F0000}"/>
    <cellStyle name="SAPBEXstdItem 93" xfId="20061" xr:uid="{00000000-0005-0000-0000-0000794F0000}"/>
    <cellStyle name="SAPBEXstdItem 94" xfId="20062" xr:uid="{00000000-0005-0000-0000-00007A4F0000}"/>
    <cellStyle name="SAPBEXstdItem 95" xfId="20063" xr:uid="{00000000-0005-0000-0000-00007B4F0000}"/>
    <cellStyle name="SAPBEXstdItem 96" xfId="20064" xr:uid="{00000000-0005-0000-0000-00007C4F0000}"/>
    <cellStyle name="SAPBEXstdItem 97" xfId="20065" xr:uid="{00000000-0005-0000-0000-00007D4F0000}"/>
    <cellStyle name="SAPBEXstdItem 98" xfId="20066" xr:uid="{00000000-0005-0000-0000-00007E4F0000}"/>
    <cellStyle name="SAPBEXstdItem 99" xfId="20067" xr:uid="{00000000-0005-0000-0000-00007F4F0000}"/>
    <cellStyle name="SAPBEXstdItem_2009 12 09 Cash flow (2009)" xfId="20068" xr:uid="{00000000-0005-0000-0000-0000804F0000}"/>
    <cellStyle name="SAPBEXstdItemX" xfId="20069" xr:uid="{00000000-0005-0000-0000-0000814F0000}"/>
    <cellStyle name="SAPBEXstdItemX 10" xfId="20070" xr:uid="{00000000-0005-0000-0000-0000824F0000}"/>
    <cellStyle name="SAPBEXstdItemX 10 2" xfId="20071" xr:uid="{00000000-0005-0000-0000-0000834F0000}"/>
    <cellStyle name="SAPBEXstdItemX 10 3" xfId="20072" xr:uid="{00000000-0005-0000-0000-0000844F0000}"/>
    <cellStyle name="SAPBEXstdItemX 10 4" xfId="20073" xr:uid="{00000000-0005-0000-0000-0000854F0000}"/>
    <cellStyle name="SAPBEXstdItemX 10 5" xfId="20074" xr:uid="{00000000-0005-0000-0000-0000864F0000}"/>
    <cellStyle name="SAPBEXstdItemX 10 6" xfId="20075" xr:uid="{00000000-0005-0000-0000-0000874F0000}"/>
    <cellStyle name="SAPBEXstdItemX 100" xfId="28116" xr:uid="{00000000-0005-0000-0000-0000884F0000}"/>
    <cellStyle name="SAPBEXstdItemX 101" xfId="28170" xr:uid="{00000000-0005-0000-0000-0000894F0000}"/>
    <cellStyle name="SAPBEXstdItemX 11" xfId="20076" xr:uid="{00000000-0005-0000-0000-00008A4F0000}"/>
    <cellStyle name="SAPBEXstdItemX 11 2" xfId="20077" xr:uid="{00000000-0005-0000-0000-00008B4F0000}"/>
    <cellStyle name="SAPBEXstdItemX 11 3" xfId="20078" xr:uid="{00000000-0005-0000-0000-00008C4F0000}"/>
    <cellStyle name="SAPBEXstdItemX 11 4" xfId="20079" xr:uid="{00000000-0005-0000-0000-00008D4F0000}"/>
    <cellStyle name="SAPBEXstdItemX 11 5" xfId="20080" xr:uid="{00000000-0005-0000-0000-00008E4F0000}"/>
    <cellStyle name="SAPBEXstdItemX 11 6" xfId="20081" xr:uid="{00000000-0005-0000-0000-00008F4F0000}"/>
    <cellStyle name="SAPBEXstdItemX 12" xfId="20082" xr:uid="{00000000-0005-0000-0000-0000904F0000}"/>
    <cellStyle name="SAPBEXstdItemX 12 2" xfId="20083" xr:uid="{00000000-0005-0000-0000-0000914F0000}"/>
    <cellStyle name="SAPBEXstdItemX 12 3" xfId="20084" xr:uid="{00000000-0005-0000-0000-0000924F0000}"/>
    <cellStyle name="SAPBEXstdItemX 12 4" xfId="20085" xr:uid="{00000000-0005-0000-0000-0000934F0000}"/>
    <cellStyle name="SAPBEXstdItemX 12 5" xfId="20086" xr:uid="{00000000-0005-0000-0000-0000944F0000}"/>
    <cellStyle name="SAPBEXstdItemX 12 6" xfId="20087" xr:uid="{00000000-0005-0000-0000-0000954F0000}"/>
    <cellStyle name="SAPBEXstdItemX 13" xfId="20088" xr:uid="{00000000-0005-0000-0000-0000964F0000}"/>
    <cellStyle name="SAPBEXstdItemX 13 2" xfId="20089" xr:uid="{00000000-0005-0000-0000-0000974F0000}"/>
    <cellStyle name="SAPBEXstdItemX 13 3" xfId="20090" xr:uid="{00000000-0005-0000-0000-0000984F0000}"/>
    <cellStyle name="SAPBEXstdItemX 13 4" xfId="20091" xr:uid="{00000000-0005-0000-0000-0000994F0000}"/>
    <cellStyle name="SAPBEXstdItemX 13 5" xfId="20092" xr:uid="{00000000-0005-0000-0000-00009A4F0000}"/>
    <cellStyle name="SAPBEXstdItemX 13 6" xfId="20093" xr:uid="{00000000-0005-0000-0000-00009B4F0000}"/>
    <cellStyle name="SAPBEXstdItemX 14" xfId="20094" xr:uid="{00000000-0005-0000-0000-00009C4F0000}"/>
    <cellStyle name="SAPBEXstdItemX 14 2" xfId="20095" xr:uid="{00000000-0005-0000-0000-00009D4F0000}"/>
    <cellStyle name="SAPBEXstdItemX 14 3" xfId="20096" xr:uid="{00000000-0005-0000-0000-00009E4F0000}"/>
    <cellStyle name="SAPBEXstdItemX 14 4" xfId="20097" xr:uid="{00000000-0005-0000-0000-00009F4F0000}"/>
    <cellStyle name="SAPBEXstdItemX 14 5" xfId="20098" xr:uid="{00000000-0005-0000-0000-0000A04F0000}"/>
    <cellStyle name="SAPBEXstdItemX 14 6" xfId="20099" xr:uid="{00000000-0005-0000-0000-0000A14F0000}"/>
    <cellStyle name="SAPBEXstdItemX 15" xfId="20100" xr:uid="{00000000-0005-0000-0000-0000A24F0000}"/>
    <cellStyle name="SAPBEXstdItemX 15 2" xfId="20101" xr:uid="{00000000-0005-0000-0000-0000A34F0000}"/>
    <cellStyle name="SAPBEXstdItemX 15 3" xfId="20102" xr:uid="{00000000-0005-0000-0000-0000A44F0000}"/>
    <cellStyle name="SAPBEXstdItemX 15 4" xfId="20103" xr:uid="{00000000-0005-0000-0000-0000A54F0000}"/>
    <cellStyle name="SAPBEXstdItemX 15 5" xfId="20104" xr:uid="{00000000-0005-0000-0000-0000A64F0000}"/>
    <cellStyle name="SAPBEXstdItemX 15 6" xfId="20105" xr:uid="{00000000-0005-0000-0000-0000A74F0000}"/>
    <cellStyle name="SAPBEXstdItemX 16" xfId="20106" xr:uid="{00000000-0005-0000-0000-0000A84F0000}"/>
    <cellStyle name="SAPBEXstdItemX 16 2" xfId="20107" xr:uid="{00000000-0005-0000-0000-0000A94F0000}"/>
    <cellStyle name="SAPBEXstdItemX 16 3" xfId="20108" xr:uid="{00000000-0005-0000-0000-0000AA4F0000}"/>
    <cellStyle name="SAPBEXstdItemX 16 4" xfId="20109" xr:uid="{00000000-0005-0000-0000-0000AB4F0000}"/>
    <cellStyle name="SAPBEXstdItemX 16 5" xfId="20110" xr:uid="{00000000-0005-0000-0000-0000AC4F0000}"/>
    <cellStyle name="SAPBEXstdItemX 16 6" xfId="20111" xr:uid="{00000000-0005-0000-0000-0000AD4F0000}"/>
    <cellStyle name="SAPBEXstdItemX 17" xfId="20112" xr:uid="{00000000-0005-0000-0000-0000AE4F0000}"/>
    <cellStyle name="SAPBEXstdItemX 17 2" xfId="20113" xr:uid="{00000000-0005-0000-0000-0000AF4F0000}"/>
    <cellStyle name="SAPBEXstdItemX 17 3" xfId="20114" xr:uid="{00000000-0005-0000-0000-0000B04F0000}"/>
    <cellStyle name="SAPBEXstdItemX 17 4" xfId="20115" xr:uid="{00000000-0005-0000-0000-0000B14F0000}"/>
    <cellStyle name="SAPBEXstdItemX 17 5" xfId="20116" xr:uid="{00000000-0005-0000-0000-0000B24F0000}"/>
    <cellStyle name="SAPBEXstdItemX 17 6" xfId="20117" xr:uid="{00000000-0005-0000-0000-0000B34F0000}"/>
    <cellStyle name="SAPBEXstdItemX 18" xfId="20118" xr:uid="{00000000-0005-0000-0000-0000B44F0000}"/>
    <cellStyle name="SAPBEXstdItemX 18 2" xfId="20119" xr:uid="{00000000-0005-0000-0000-0000B54F0000}"/>
    <cellStyle name="SAPBEXstdItemX 18 3" xfId="20120" xr:uid="{00000000-0005-0000-0000-0000B64F0000}"/>
    <cellStyle name="SAPBEXstdItemX 18 4" xfId="20121" xr:uid="{00000000-0005-0000-0000-0000B74F0000}"/>
    <cellStyle name="SAPBEXstdItemX 18 5" xfId="20122" xr:uid="{00000000-0005-0000-0000-0000B84F0000}"/>
    <cellStyle name="SAPBEXstdItemX 18 6" xfId="20123" xr:uid="{00000000-0005-0000-0000-0000B94F0000}"/>
    <cellStyle name="SAPBEXstdItemX 19" xfId="20124" xr:uid="{00000000-0005-0000-0000-0000BA4F0000}"/>
    <cellStyle name="SAPBEXstdItemX 19 2" xfId="20125" xr:uid="{00000000-0005-0000-0000-0000BB4F0000}"/>
    <cellStyle name="SAPBEXstdItemX 19 3" xfId="20126" xr:uid="{00000000-0005-0000-0000-0000BC4F0000}"/>
    <cellStyle name="SAPBEXstdItemX 19 4" xfId="20127" xr:uid="{00000000-0005-0000-0000-0000BD4F0000}"/>
    <cellStyle name="SAPBEXstdItemX 19 5" xfId="20128" xr:uid="{00000000-0005-0000-0000-0000BE4F0000}"/>
    <cellStyle name="SAPBEXstdItemX 19 6" xfId="20129" xr:uid="{00000000-0005-0000-0000-0000BF4F0000}"/>
    <cellStyle name="SAPBEXstdItemX 2" xfId="20130" xr:uid="{00000000-0005-0000-0000-0000C04F0000}"/>
    <cellStyle name="SAPBEXstdItemX 2 10" xfId="20131" xr:uid="{00000000-0005-0000-0000-0000C14F0000}"/>
    <cellStyle name="SAPBEXstdItemX 2 10 2" xfId="20132" xr:uid="{00000000-0005-0000-0000-0000C24F0000}"/>
    <cellStyle name="SAPBEXstdItemX 2 10 3" xfId="20133" xr:uid="{00000000-0005-0000-0000-0000C34F0000}"/>
    <cellStyle name="SAPBEXstdItemX 2 10 4" xfId="20134" xr:uid="{00000000-0005-0000-0000-0000C44F0000}"/>
    <cellStyle name="SAPBEXstdItemX 2 11" xfId="20135" xr:uid="{00000000-0005-0000-0000-0000C54F0000}"/>
    <cellStyle name="SAPBEXstdItemX 2 11 2" xfId="20136" xr:uid="{00000000-0005-0000-0000-0000C64F0000}"/>
    <cellStyle name="SAPBEXstdItemX 2 11 3" xfId="20137" xr:uid="{00000000-0005-0000-0000-0000C74F0000}"/>
    <cellStyle name="SAPBEXstdItemX 2 11 4" xfId="20138" xr:uid="{00000000-0005-0000-0000-0000C84F0000}"/>
    <cellStyle name="SAPBEXstdItemX 2 12" xfId="20139" xr:uid="{00000000-0005-0000-0000-0000C94F0000}"/>
    <cellStyle name="SAPBEXstdItemX 2 12 2" xfId="20140" xr:uid="{00000000-0005-0000-0000-0000CA4F0000}"/>
    <cellStyle name="SAPBEXstdItemX 2 12 3" xfId="20141" xr:uid="{00000000-0005-0000-0000-0000CB4F0000}"/>
    <cellStyle name="SAPBEXstdItemX 2 12 4" xfId="20142" xr:uid="{00000000-0005-0000-0000-0000CC4F0000}"/>
    <cellStyle name="SAPBEXstdItemX 2 13" xfId="20143" xr:uid="{00000000-0005-0000-0000-0000CD4F0000}"/>
    <cellStyle name="SAPBEXstdItemX 2 13 2" xfId="20144" xr:uid="{00000000-0005-0000-0000-0000CE4F0000}"/>
    <cellStyle name="SAPBEXstdItemX 2 13 3" xfId="20145" xr:uid="{00000000-0005-0000-0000-0000CF4F0000}"/>
    <cellStyle name="SAPBEXstdItemX 2 13 4" xfId="20146" xr:uid="{00000000-0005-0000-0000-0000D04F0000}"/>
    <cellStyle name="SAPBEXstdItemX 2 14" xfId="20147" xr:uid="{00000000-0005-0000-0000-0000D14F0000}"/>
    <cellStyle name="SAPBEXstdItemX 2 15" xfId="20148" xr:uid="{00000000-0005-0000-0000-0000D24F0000}"/>
    <cellStyle name="SAPBEXstdItemX 2 16" xfId="20149" xr:uid="{00000000-0005-0000-0000-0000D34F0000}"/>
    <cellStyle name="SAPBEXstdItemX 2 17" xfId="20150" xr:uid="{00000000-0005-0000-0000-0000D44F0000}"/>
    <cellStyle name="SAPBEXstdItemX 2 18" xfId="20151" xr:uid="{00000000-0005-0000-0000-0000D54F0000}"/>
    <cellStyle name="SAPBEXstdItemX 2 2" xfId="20152" xr:uid="{00000000-0005-0000-0000-0000D64F0000}"/>
    <cellStyle name="SAPBEXstdItemX 2 2 2" xfId="20153" xr:uid="{00000000-0005-0000-0000-0000D74F0000}"/>
    <cellStyle name="SAPBEXstdItemX 2 2 2 2" xfId="20154" xr:uid="{00000000-0005-0000-0000-0000D84F0000}"/>
    <cellStyle name="SAPBEXstdItemX 2 2 2 3" xfId="20155" xr:uid="{00000000-0005-0000-0000-0000D94F0000}"/>
    <cellStyle name="SAPBEXstdItemX 2 2 2 4" xfId="20156" xr:uid="{00000000-0005-0000-0000-0000DA4F0000}"/>
    <cellStyle name="SAPBEXstdItemX 2 2 2 5" xfId="20157" xr:uid="{00000000-0005-0000-0000-0000DB4F0000}"/>
    <cellStyle name="SAPBEXstdItemX 2 2 2 6" xfId="20158" xr:uid="{00000000-0005-0000-0000-0000DC4F0000}"/>
    <cellStyle name="SAPBEXstdItemX 2 2 3" xfId="20159" xr:uid="{00000000-0005-0000-0000-0000DD4F0000}"/>
    <cellStyle name="SAPBEXstdItemX 2 2 3 2" xfId="20160" xr:uid="{00000000-0005-0000-0000-0000DE4F0000}"/>
    <cellStyle name="SAPBEXstdItemX 2 2 3 3" xfId="20161" xr:uid="{00000000-0005-0000-0000-0000DF4F0000}"/>
    <cellStyle name="SAPBEXstdItemX 2 2 3 4" xfId="20162" xr:uid="{00000000-0005-0000-0000-0000E04F0000}"/>
    <cellStyle name="SAPBEXstdItemX 2 2 3 5" xfId="20163" xr:uid="{00000000-0005-0000-0000-0000E14F0000}"/>
    <cellStyle name="SAPBEXstdItemX 2 2 3 6" xfId="20164" xr:uid="{00000000-0005-0000-0000-0000E24F0000}"/>
    <cellStyle name="SAPBEXstdItemX 2 2 4" xfId="20165" xr:uid="{00000000-0005-0000-0000-0000E34F0000}"/>
    <cellStyle name="SAPBEXstdItemX 2 2 4 2" xfId="20166" xr:uid="{00000000-0005-0000-0000-0000E44F0000}"/>
    <cellStyle name="SAPBEXstdItemX 2 2 4 3" xfId="20167" xr:uid="{00000000-0005-0000-0000-0000E54F0000}"/>
    <cellStyle name="SAPBEXstdItemX 2 2 4 4" xfId="20168" xr:uid="{00000000-0005-0000-0000-0000E64F0000}"/>
    <cellStyle name="SAPBEXstdItemX 2 2 4 5" xfId="20169" xr:uid="{00000000-0005-0000-0000-0000E74F0000}"/>
    <cellStyle name="SAPBEXstdItemX 2 2 4 6" xfId="20170" xr:uid="{00000000-0005-0000-0000-0000E84F0000}"/>
    <cellStyle name="SAPBEXstdItemX 2 2 5" xfId="20171" xr:uid="{00000000-0005-0000-0000-0000E94F0000}"/>
    <cellStyle name="SAPBEXstdItemX 2 2 5 2" xfId="20172" xr:uid="{00000000-0005-0000-0000-0000EA4F0000}"/>
    <cellStyle name="SAPBEXstdItemX 2 2 5 3" xfId="20173" xr:uid="{00000000-0005-0000-0000-0000EB4F0000}"/>
    <cellStyle name="SAPBEXstdItemX 2 2 5 4" xfId="20174" xr:uid="{00000000-0005-0000-0000-0000EC4F0000}"/>
    <cellStyle name="SAPBEXstdItemX 2 2 5 5" xfId="20175" xr:uid="{00000000-0005-0000-0000-0000ED4F0000}"/>
    <cellStyle name="SAPBEXstdItemX 2 2 5 6" xfId="20176" xr:uid="{00000000-0005-0000-0000-0000EE4F0000}"/>
    <cellStyle name="SAPBEXstdItemX 2 2 6" xfId="20177" xr:uid="{00000000-0005-0000-0000-0000EF4F0000}"/>
    <cellStyle name="SAPBEXstdItemX 2 2 7" xfId="20178" xr:uid="{00000000-0005-0000-0000-0000F04F0000}"/>
    <cellStyle name="SAPBEXstdItemX 2 2 8" xfId="20179" xr:uid="{00000000-0005-0000-0000-0000F14F0000}"/>
    <cellStyle name="SAPBEXstdItemX 2 3" xfId="20180" xr:uid="{00000000-0005-0000-0000-0000F24F0000}"/>
    <cellStyle name="SAPBEXstdItemX 2 3 2" xfId="20181" xr:uid="{00000000-0005-0000-0000-0000F34F0000}"/>
    <cellStyle name="SAPBEXstdItemX 2 3 2 2" xfId="20182" xr:uid="{00000000-0005-0000-0000-0000F44F0000}"/>
    <cellStyle name="SAPBEXstdItemX 2 3 2 3" xfId="20183" xr:uid="{00000000-0005-0000-0000-0000F54F0000}"/>
    <cellStyle name="SAPBEXstdItemX 2 3 2 4" xfId="20184" xr:uid="{00000000-0005-0000-0000-0000F64F0000}"/>
    <cellStyle name="SAPBEXstdItemX 2 3 2 5" xfId="20185" xr:uid="{00000000-0005-0000-0000-0000F74F0000}"/>
    <cellStyle name="SAPBEXstdItemX 2 3 2 6" xfId="20186" xr:uid="{00000000-0005-0000-0000-0000F84F0000}"/>
    <cellStyle name="SAPBEXstdItemX 2 3 3" xfId="20187" xr:uid="{00000000-0005-0000-0000-0000F94F0000}"/>
    <cellStyle name="SAPBEXstdItemX 2 3 3 2" xfId="20188" xr:uid="{00000000-0005-0000-0000-0000FA4F0000}"/>
    <cellStyle name="SAPBEXstdItemX 2 3 3 3" xfId="20189" xr:uid="{00000000-0005-0000-0000-0000FB4F0000}"/>
    <cellStyle name="SAPBEXstdItemX 2 3 3 4" xfId="20190" xr:uid="{00000000-0005-0000-0000-0000FC4F0000}"/>
    <cellStyle name="SAPBEXstdItemX 2 3 3 5" xfId="20191" xr:uid="{00000000-0005-0000-0000-0000FD4F0000}"/>
    <cellStyle name="SAPBEXstdItemX 2 3 3 6" xfId="20192" xr:uid="{00000000-0005-0000-0000-0000FE4F0000}"/>
    <cellStyle name="SAPBEXstdItemX 2 3 4" xfId="20193" xr:uid="{00000000-0005-0000-0000-0000FF4F0000}"/>
    <cellStyle name="SAPBEXstdItemX 2 3 4 2" xfId="20194" xr:uid="{00000000-0005-0000-0000-000000500000}"/>
    <cellStyle name="SAPBEXstdItemX 2 3 4 3" xfId="20195" xr:uid="{00000000-0005-0000-0000-000001500000}"/>
    <cellStyle name="SAPBEXstdItemX 2 3 4 4" xfId="20196" xr:uid="{00000000-0005-0000-0000-000002500000}"/>
    <cellStyle name="SAPBEXstdItemX 2 3 4 5" xfId="20197" xr:uid="{00000000-0005-0000-0000-000003500000}"/>
    <cellStyle name="SAPBEXstdItemX 2 3 4 6" xfId="20198" xr:uid="{00000000-0005-0000-0000-000004500000}"/>
    <cellStyle name="SAPBEXstdItemX 2 3 5" xfId="20199" xr:uid="{00000000-0005-0000-0000-000005500000}"/>
    <cellStyle name="SAPBEXstdItemX 2 3 5 2" xfId="20200" xr:uid="{00000000-0005-0000-0000-000006500000}"/>
    <cellStyle name="SAPBEXstdItemX 2 3 5 3" xfId="20201" xr:uid="{00000000-0005-0000-0000-000007500000}"/>
    <cellStyle name="SAPBEXstdItemX 2 3 5 4" xfId="20202" xr:uid="{00000000-0005-0000-0000-000008500000}"/>
    <cellStyle name="SAPBEXstdItemX 2 3 5 5" xfId="20203" xr:uid="{00000000-0005-0000-0000-000009500000}"/>
    <cellStyle name="SAPBEXstdItemX 2 3 5 6" xfId="20204" xr:uid="{00000000-0005-0000-0000-00000A500000}"/>
    <cellStyle name="SAPBEXstdItemX 2 3 6" xfId="20205" xr:uid="{00000000-0005-0000-0000-00000B500000}"/>
    <cellStyle name="SAPBEXstdItemX 2 3 7" xfId="20206" xr:uid="{00000000-0005-0000-0000-00000C500000}"/>
    <cellStyle name="SAPBEXstdItemX 2 3 8" xfId="20207" xr:uid="{00000000-0005-0000-0000-00000D500000}"/>
    <cellStyle name="SAPBEXstdItemX 2 4" xfId="20208" xr:uid="{00000000-0005-0000-0000-00000E500000}"/>
    <cellStyle name="SAPBEXstdItemX 2 4 2" xfId="20209" xr:uid="{00000000-0005-0000-0000-00000F500000}"/>
    <cellStyle name="SAPBEXstdItemX 2 4 2 2" xfId="20210" xr:uid="{00000000-0005-0000-0000-000010500000}"/>
    <cellStyle name="SAPBEXstdItemX 2 4 2 3" xfId="20211" xr:uid="{00000000-0005-0000-0000-000011500000}"/>
    <cellStyle name="SAPBEXstdItemX 2 4 2 4" xfId="20212" xr:uid="{00000000-0005-0000-0000-000012500000}"/>
    <cellStyle name="SAPBEXstdItemX 2 4 2 5" xfId="20213" xr:uid="{00000000-0005-0000-0000-000013500000}"/>
    <cellStyle name="SAPBEXstdItemX 2 4 2 6" xfId="20214" xr:uid="{00000000-0005-0000-0000-000014500000}"/>
    <cellStyle name="SAPBEXstdItemX 2 4 3" xfId="20215" xr:uid="{00000000-0005-0000-0000-000015500000}"/>
    <cellStyle name="SAPBEXstdItemX 2 4 3 2" xfId="20216" xr:uid="{00000000-0005-0000-0000-000016500000}"/>
    <cellStyle name="SAPBEXstdItemX 2 4 3 3" xfId="20217" xr:uid="{00000000-0005-0000-0000-000017500000}"/>
    <cellStyle name="SAPBEXstdItemX 2 4 3 4" xfId="20218" xr:uid="{00000000-0005-0000-0000-000018500000}"/>
    <cellStyle name="SAPBEXstdItemX 2 4 3 5" xfId="20219" xr:uid="{00000000-0005-0000-0000-000019500000}"/>
    <cellStyle name="SAPBEXstdItemX 2 4 3 6" xfId="20220" xr:uid="{00000000-0005-0000-0000-00001A500000}"/>
    <cellStyle name="SAPBEXstdItemX 2 4 4" xfId="20221" xr:uid="{00000000-0005-0000-0000-00001B500000}"/>
    <cellStyle name="SAPBEXstdItemX 2 4 4 2" xfId="20222" xr:uid="{00000000-0005-0000-0000-00001C500000}"/>
    <cellStyle name="SAPBEXstdItemX 2 4 4 3" xfId="20223" xr:uid="{00000000-0005-0000-0000-00001D500000}"/>
    <cellStyle name="SAPBEXstdItemX 2 4 4 4" xfId="20224" xr:uid="{00000000-0005-0000-0000-00001E500000}"/>
    <cellStyle name="SAPBEXstdItemX 2 4 4 5" xfId="20225" xr:uid="{00000000-0005-0000-0000-00001F500000}"/>
    <cellStyle name="SAPBEXstdItemX 2 4 4 6" xfId="20226" xr:uid="{00000000-0005-0000-0000-000020500000}"/>
    <cellStyle name="SAPBEXstdItemX 2 4 5" xfId="20227" xr:uid="{00000000-0005-0000-0000-000021500000}"/>
    <cellStyle name="SAPBEXstdItemX 2 4 5 2" xfId="20228" xr:uid="{00000000-0005-0000-0000-000022500000}"/>
    <cellStyle name="SAPBEXstdItemX 2 4 5 3" xfId="20229" xr:uid="{00000000-0005-0000-0000-000023500000}"/>
    <cellStyle name="SAPBEXstdItemX 2 4 5 4" xfId="20230" xr:uid="{00000000-0005-0000-0000-000024500000}"/>
    <cellStyle name="SAPBEXstdItemX 2 4 5 5" xfId="20231" xr:uid="{00000000-0005-0000-0000-000025500000}"/>
    <cellStyle name="SAPBEXstdItemX 2 4 5 6" xfId="20232" xr:uid="{00000000-0005-0000-0000-000026500000}"/>
    <cellStyle name="SAPBEXstdItemX 2 4 6" xfId="20233" xr:uid="{00000000-0005-0000-0000-000027500000}"/>
    <cellStyle name="SAPBEXstdItemX 2 4 7" xfId="20234" xr:uid="{00000000-0005-0000-0000-000028500000}"/>
    <cellStyle name="SAPBEXstdItemX 2 4 8" xfId="20235" xr:uid="{00000000-0005-0000-0000-000029500000}"/>
    <cellStyle name="SAPBEXstdItemX 2 5" xfId="20236" xr:uid="{00000000-0005-0000-0000-00002A500000}"/>
    <cellStyle name="SAPBEXstdItemX 2 5 2" xfId="20237" xr:uid="{00000000-0005-0000-0000-00002B500000}"/>
    <cellStyle name="SAPBEXstdItemX 2 5 3" xfId="20238" xr:uid="{00000000-0005-0000-0000-00002C500000}"/>
    <cellStyle name="SAPBEXstdItemX 2 5 4" xfId="20239" xr:uid="{00000000-0005-0000-0000-00002D500000}"/>
    <cellStyle name="SAPBEXstdItemX 2 6" xfId="20240" xr:uid="{00000000-0005-0000-0000-00002E500000}"/>
    <cellStyle name="SAPBEXstdItemX 2 6 2" xfId="20241" xr:uid="{00000000-0005-0000-0000-00002F500000}"/>
    <cellStyle name="SAPBEXstdItemX 2 6 3" xfId="20242" xr:uid="{00000000-0005-0000-0000-000030500000}"/>
    <cellStyle name="SAPBEXstdItemX 2 6 4" xfId="20243" xr:uid="{00000000-0005-0000-0000-000031500000}"/>
    <cellStyle name="SAPBEXstdItemX 2 7" xfId="20244" xr:uid="{00000000-0005-0000-0000-000032500000}"/>
    <cellStyle name="SAPBEXstdItemX 2 7 2" xfId="20245" xr:uid="{00000000-0005-0000-0000-000033500000}"/>
    <cellStyle name="SAPBEXstdItemX 2 7 3" xfId="20246" xr:uid="{00000000-0005-0000-0000-000034500000}"/>
    <cellStyle name="SAPBEXstdItemX 2 7 4" xfId="20247" xr:uid="{00000000-0005-0000-0000-000035500000}"/>
    <cellStyle name="SAPBEXstdItemX 2 8" xfId="20248" xr:uid="{00000000-0005-0000-0000-000036500000}"/>
    <cellStyle name="SAPBEXstdItemX 2 8 2" xfId="20249" xr:uid="{00000000-0005-0000-0000-000037500000}"/>
    <cellStyle name="SAPBEXstdItemX 2 8 3" xfId="20250" xr:uid="{00000000-0005-0000-0000-000038500000}"/>
    <cellStyle name="SAPBEXstdItemX 2 8 4" xfId="20251" xr:uid="{00000000-0005-0000-0000-000039500000}"/>
    <cellStyle name="SAPBEXstdItemX 2 9" xfId="20252" xr:uid="{00000000-0005-0000-0000-00003A500000}"/>
    <cellStyle name="SAPBEXstdItemX 2 9 2" xfId="20253" xr:uid="{00000000-0005-0000-0000-00003B500000}"/>
    <cellStyle name="SAPBEXstdItemX 2 9 3" xfId="20254" xr:uid="{00000000-0005-0000-0000-00003C500000}"/>
    <cellStyle name="SAPBEXstdItemX 2 9 4" xfId="20255" xr:uid="{00000000-0005-0000-0000-00003D500000}"/>
    <cellStyle name="SAPBEXstdItemX 2_2009 12 09 Cash flow (2009)" xfId="20256" xr:uid="{00000000-0005-0000-0000-00003E500000}"/>
    <cellStyle name="SAPBEXstdItemX 20" xfId="20257" xr:uid="{00000000-0005-0000-0000-00003F500000}"/>
    <cellStyle name="SAPBEXstdItemX 20 2" xfId="20258" xr:uid="{00000000-0005-0000-0000-000040500000}"/>
    <cellStyle name="SAPBEXstdItemX 20 3" xfId="20259" xr:uid="{00000000-0005-0000-0000-000041500000}"/>
    <cellStyle name="SAPBEXstdItemX 20 4" xfId="20260" xr:uid="{00000000-0005-0000-0000-000042500000}"/>
    <cellStyle name="SAPBEXstdItemX 20 5" xfId="20261" xr:uid="{00000000-0005-0000-0000-000043500000}"/>
    <cellStyle name="SAPBEXstdItemX 20 6" xfId="20262" xr:uid="{00000000-0005-0000-0000-000044500000}"/>
    <cellStyle name="SAPBEXstdItemX 21" xfId="20263" xr:uid="{00000000-0005-0000-0000-000045500000}"/>
    <cellStyle name="SAPBEXstdItemX 21 2" xfId="20264" xr:uid="{00000000-0005-0000-0000-000046500000}"/>
    <cellStyle name="SAPBEXstdItemX 21 3" xfId="20265" xr:uid="{00000000-0005-0000-0000-000047500000}"/>
    <cellStyle name="SAPBEXstdItemX 21 4" xfId="20266" xr:uid="{00000000-0005-0000-0000-000048500000}"/>
    <cellStyle name="SAPBEXstdItemX 21 5" xfId="20267" xr:uid="{00000000-0005-0000-0000-000049500000}"/>
    <cellStyle name="SAPBEXstdItemX 21 6" xfId="20268" xr:uid="{00000000-0005-0000-0000-00004A500000}"/>
    <cellStyle name="SAPBEXstdItemX 22" xfId="20269" xr:uid="{00000000-0005-0000-0000-00004B500000}"/>
    <cellStyle name="SAPBEXstdItemX 22 2" xfId="20270" xr:uid="{00000000-0005-0000-0000-00004C500000}"/>
    <cellStyle name="SAPBEXstdItemX 22 3" xfId="20271" xr:uid="{00000000-0005-0000-0000-00004D500000}"/>
    <cellStyle name="SAPBEXstdItemX 22 4" xfId="20272" xr:uid="{00000000-0005-0000-0000-00004E500000}"/>
    <cellStyle name="SAPBEXstdItemX 22 5" xfId="20273" xr:uid="{00000000-0005-0000-0000-00004F500000}"/>
    <cellStyle name="SAPBEXstdItemX 22 6" xfId="20274" xr:uid="{00000000-0005-0000-0000-000050500000}"/>
    <cellStyle name="SAPBEXstdItemX 23" xfId="20275" xr:uid="{00000000-0005-0000-0000-000051500000}"/>
    <cellStyle name="SAPBEXstdItemX 23 2" xfId="20276" xr:uid="{00000000-0005-0000-0000-000052500000}"/>
    <cellStyle name="SAPBEXstdItemX 23 3" xfId="20277" xr:uid="{00000000-0005-0000-0000-000053500000}"/>
    <cellStyle name="SAPBEXstdItemX 23 4" xfId="20278" xr:uid="{00000000-0005-0000-0000-000054500000}"/>
    <cellStyle name="SAPBEXstdItemX 23 5" xfId="20279" xr:uid="{00000000-0005-0000-0000-000055500000}"/>
    <cellStyle name="SAPBEXstdItemX 23 6" xfId="20280" xr:uid="{00000000-0005-0000-0000-000056500000}"/>
    <cellStyle name="SAPBEXstdItemX 24" xfId="20281" xr:uid="{00000000-0005-0000-0000-000057500000}"/>
    <cellStyle name="SAPBEXstdItemX 24 2" xfId="20282" xr:uid="{00000000-0005-0000-0000-000058500000}"/>
    <cellStyle name="SAPBEXstdItemX 24 3" xfId="20283" xr:uid="{00000000-0005-0000-0000-000059500000}"/>
    <cellStyle name="SAPBEXstdItemX 24 4" xfId="20284" xr:uid="{00000000-0005-0000-0000-00005A500000}"/>
    <cellStyle name="SAPBEXstdItemX 24 5" xfId="20285" xr:uid="{00000000-0005-0000-0000-00005B500000}"/>
    <cellStyle name="SAPBEXstdItemX 24 6" xfId="20286" xr:uid="{00000000-0005-0000-0000-00005C500000}"/>
    <cellStyle name="SAPBEXstdItemX 25" xfId="20287" xr:uid="{00000000-0005-0000-0000-00005D500000}"/>
    <cellStyle name="SAPBEXstdItemX 25 2" xfId="20288" xr:uid="{00000000-0005-0000-0000-00005E500000}"/>
    <cellStyle name="SAPBEXstdItemX 25 3" xfId="20289" xr:uid="{00000000-0005-0000-0000-00005F500000}"/>
    <cellStyle name="SAPBEXstdItemX 25 4" xfId="20290" xr:uid="{00000000-0005-0000-0000-000060500000}"/>
    <cellStyle name="SAPBEXstdItemX 25 5" xfId="20291" xr:uid="{00000000-0005-0000-0000-000061500000}"/>
    <cellStyle name="SAPBEXstdItemX 25 6" xfId="20292" xr:uid="{00000000-0005-0000-0000-000062500000}"/>
    <cellStyle name="SAPBEXstdItemX 26" xfId="20293" xr:uid="{00000000-0005-0000-0000-000063500000}"/>
    <cellStyle name="SAPBEXstdItemX 26 2" xfId="20294" xr:uid="{00000000-0005-0000-0000-000064500000}"/>
    <cellStyle name="SAPBEXstdItemX 26 3" xfId="20295" xr:uid="{00000000-0005-0000-0000-000065500000}"/>
    <cellStyle name="SAPBEXstdItemX 26 4" xfId="20296" xr:uid="{00000000-0005-0000-0000-000066500000}"/>
    <cellStyle name="SAPBEXstdItemX 26 5" xfId="20297" xr:uid="{00000000-0005-0000-0000-000067500000}"/>
    <cellStyle name="SAPBEXstdItemX 26 6" xfId="20298" xr:uid="{00000000-0005-0000-0000-000068500000}"/>
    <cellStyle name="SAPBEXstdItemX 27" xfId="20299" xr:uid="{00000000-0005-0000-0000-000069500000}"/>
    <cellStyle name="SAPBEXstdItemX 27 2" xfId="20300" xr:uid="{00000000-0005-0000-0000-00006A500000}"/>
    <cellStyle name="SAPBEXstdItemX 27 3" xfId="20301" xr:uid="{00000000-0005-0000-0000-00006B500000}"/>
    <cellStyle name="SAPBEXstdItemX 27 4" xfId="20302" xr:uid="{00000000-0005-0000-0000-00006C500000}"/>
    <cellStyle name="SAPBEXstdItemX 27 5" xfId="20303" xr:uid="{00000000-0005-0000-0000-00006D500000}"/>
    <cellStyle name="SAPBEXstdItemX 27 6" xfId="20304" xr:uid="{00000000-0005-0000-0000-00006E500000}"/>
    <cellStyle name="SAPBEXstdItemX 28" xfId="20305" xr:uid="{00000000-0005-0000-0000-00006F500000}"/>
    <cellStyle name="SAPBEXstdItemX 28 2" xfId="20306" xr:uid="{00000000-0005-0000-0000-000070500000}"/>
    <cellStyle name="SAPBEXstdItemX 28 3" xfId="20307" xr:uid="{00000000-0005-0000-0000-000071500000}"/>
    <cellStyle name="SAPBEXstdItemX 28 4" xfId="20308" xr:uid="{00000000-0005-0000-0000-000072500000}"/>
    <cellStyle name="SAPBEXstdItemX 28 5" xfId="20309" xr:uid="{00000000-0005-0000-0000-000073500000}"/>
    <cellStyle name="SAPBEXstdItemX 28 6" xfId="20310" xr:uid="{00000000-0005-0000-0000-000074500000}"/>
    <cellStyle name="SAPBEXstdItemX 29" xfId="20311" xr:uid="{00000000-0005-0000-0000-000075500000}"/>
    <cellStyle name="SAPBEXstdItemX 29 2" xfId="20312" xr:uid="{00000000-0005-0000-0000-000076500000}"/>
    <cellStyle name="SAPBEXstdItemX 29 3" xfId="20313" xr:uid="{00000000-0005-0000-0000-000077500000}"/>
    <cellStyle name="SAPBEXstdItemX 29 4" xfId="20314" xr:uid="{00000000-0005-0000-0000-000078500000}"/>
    <cellStyle name="SAPBEXstdItemX 29 5" xfId="20315" xr:uid="{00000000-0005-0000-0000-000079500000}"/>
    <cellStyle name="SAPBEXstdItemX 29 6" xfId="20316" xr:uid="{00000000-0005-0000-0000-00007A500000}"/>
    <cellStyle name="SAPBEXstdItemX 3" xfId="20317" xr:uid="{00000000-0005-0000-0000-00007B500000}"/>
    <cellStyle name="SAPBEXstdItemX 3 10" xfId="20318" xr:uid="{00000000-0005-0000-0000-00007C500000}"/>
    <cellStyle name="SAPBEXstdItemX 3 11" xfId="20319" xr:uid="{00000000-0005-0000-0000-00007D500000}"/>
    <cellStyle name="SAPBEXstdItemX 3 12" xfId="20320" xr:uid="{00000000-0005-0000-0000-00007E500000}"/>
    <cellStyle name="SAPBEXstdItemX 3 2" xfId="20321" xr:uid="{00000000-0005-0000-0000-00007F500000}"/>
    <cellStyle name="SAPBEXstdItemX 3 2 2" xfId="20322" xr:uid="{00000000-0005-0000-0000-000080500000}"/>
    <cellStyle name="SAPBEXstdItemX 3 2 2 2" xfId="20323" xr:uid="{00000000-0005-0000-0000-000081500000}"/>
    <cellStyle name="SAPBEXstdItemX 3 2 2 3" xfId="20324" xr:uid="{00000000-0005-0000-0000-000082500000}"/>
    <cellStyle name="SAPBEXstdItemX 3 2 2 4" xfId="20325" xr:uid="{00000000-0005-0000-0000-000083500000}"/>
    <cellStyle name="SAPBEXstdItemX 3 2 2 5" xfId="20326" xr:uid="{00000000-0005-0000-0000-000084500000}"/>
    <cellStyle name="SAPBEXstdItemX 3 2 2 6" xfId="20327" xr:uid="{00000000-0005-0000-0000-000085500000}"/>
    <cellStyle name="SAPBEXstdItemX 3 2 3" xfId="20328" xr:uid="{00000000-0005-0000-0000-000086500000}"/>
    <cellStyle name="SAPBEXstdItemX 3 2 3 2" xfId="20329" xr:uid="{00000000-0005-0000-0000-000087500000}"/>
    <cellStyle name="SAPBEXstdItemX 3 2 3 3" xfId="20330" xr:uid="{00000000-0005-0000-0000-000088500000}"/>
    <cellStyle name="SAPBEXstdItemX 3 2 3 4" xfId="20331" xr:uid="{00000000-0005-0000-0000-000089500000}"/>
    <cellStyle name="SAPBEXstdItemX 3 2 3 5" xfId="20332" xr:uid="{00000000-0005-0000-0000-00008A500000}"/>
    <cellStyle name="SAPBEXstdItemX 3 2 3 6" xfId="20333" xr:uid="{00000000-0005-0000-0000-00008B500000}"/>
    <cellStyle name="SAPBEXstdItemX 3 2 4" xfId="20334" xr:uid="{00000000-0005-0000-0000-00008C500000}"/>
    <cellStyle name="SAPBEXstdItemX 3 2 4 2" xfId="20335" xr:uid="{00000000-0005-0000-0000-00008D500000}"/>
    <cellStyle name="SAPBEXstdItemX 3 2 4 3" xfId="20336" xr:uid="{00000000-0005-0000-0000-00008E500000}"/>
    <cellStyle name="SAPBEXstdItemX 3 2 4 4" xfId="20337" xr:uid="{00000000-0005-0000-0000-00008F500000}"/>
    <cellStyle name="SAPBEXstdItemX 3 2 4 5" xfId="20338" xr:uid="{00000000-0005-0000-0000-000090500000}"/>
    <cellStyle name="SAPBEXstdItemX 3 2 4 6" xfId="20339" xr:uid="{00000000-0005-0000-0000-000091500000}"/>
    <cellStyle name="SAPBEXstdItemX 3 2 5" xfId="20340" xr:uid="{00000000-0005-0000-0000-000092500000}"/>
    <cellStyle name="SAPBEXstdItemX 3 2 5 2" xfId="20341" xr:uid="{00000000-0005-0000-0000-000093500000}"/>
    <cellStyle name="SAPBEXstdItemX 3 2 5 3" xfId="20342" xr:uid="{00000000-0005-0000-0000-000094500000}"/>
    <cellStyle name="SAPBEXstdItemX 3 2 5 4" xfId="20343" xr:uid="{00000000-0005-0000-0000-000095500000}"/>
    <cellStyle name="SAPBEXstdItemX 3 2 5 5" xfId="20344" xr:uid="{00000000-0005-0000-0000-000096500000}"/>
    <cellStyle name="SAPBEXstdItemX 3 2 5 6" xfId="20345" xr:uid="{00000000-0005-0000-0000-000097500000}"/>
    <cellStyle name="SAPBEXstdItemX 3 2 6" xfId="20346" xr:uid="{00000000-0005-0000-0000-000098500000}"/>
    <cellStyle name="SAPBEXstdItemX 3 2 7" xfId="20347" xr:uid="{00000000-0005-0000-0000-000099500000}"/>
    <cellStyle name="SAPBEXstdItemX 3 2 8" xfId="20348" xr:uid="{00000000-0005-0000-0000-00009A500000}"/>
    <cellStyle name="SAPBEXstdItemX 3 3" xfId="20349" xr:uid="{00000000-0005-0000-0000-00009B500000}"/>
    <cellStyle name="SAPBEXstdItemX 3 3 2" xfId="20350" xr:uid="{00000000-0005-0000-0000-00009C500000}"/>
    <cellStyle name="SAPBEXstdItemX 3 3 3" xfId="20351" xr:uid="{00000000-0005-0000-0000-00009D500000}"/>
    <cellStyle name="SAPBEXstdItemX 3 3 4" xfId="20352" xr:uid="{00000000-0005-0000-0000-00009E500000}"/>
    <cellStyle name="SAPBEXstdItemX 3 3 5" xfId="20353" xr:uid="{00000000-0005-0000-0000-00009F500000}"/>
    <cellStyle name="SAPBEXstdItemX 3 3 6" xfId="20354" xr:uid="{00000000-0005-0000-0000-0000A0500000}"/>
    <cellStyle name="SAPBEXstdItemX 3 4" xfId="20355" xr:uid="{00000000-0005-0000-0000-0000A1500000}"/>
    <cellStyle name="SAPBEXstdItemX 3 4 2" xfId="20356" xr:uid="{00000000-0005-0000-0000-0000A2500000}"/>
    <cellStyle name="SAPBEXstdItemX 3 4 3" xfId="20357" xr:uid="{00000000-0005-0000-0000-0000A3500000}"/>
    <cellStyle name="SAPBEXstdItemX 3 4 4" xfId="20358" xr:uid="{00000000-0005-0000-0000-0000A4500000}"/>
    <cellStyle name="SAPBEXstdItemX 3 4 5" xfId="20359" xr:uid="{00000000-0005-0000-0000-0000A5500000}"/>
    <cellStyle name="SAPBEXstdItemX 3 4 6" xfId="20360" xr:uid="{00000000-0005-0000-0000-0000A6500000}"/>
    <cellStyle name="SAPBEXstdItemX 3 5" xfId="20361" xr:uid="{00000000-0005-0000-0000-0000A7500000}"/>
    <cellStyle name="SAPBEXstdItemX 3 5 2" xfId="20362" xr:uid="{00000000-0005-0000-0000-0000A8500000}"/>
    <cellStyle name="SAPBEXstdItemX 3 5 3" xfId="20363" xr:uid="{00000000-0005-0000-0000-0000A9500000}"/>
    <cellStyle name="SAPBEXstdItemX 3 5 4" xfId="20364" xr:uid="{00000000-0005-0000-0000-0000AA500000}"/>
    <cellStyle name="SAPBEXstdItemX 3 6" xfId="20365" xr:uid="{00000000-0005-0000-0000-0000AB500000}"/>
    <cellStyle name="SAPBEXstdItemX 3 6 2" xfId="20366" xr:uid="{00000000-0005-0000-0000-0000AC500000}"/>
    <cellStyle name="SAPBEXstdItemX 3 6 3" xfId="20367" xr:uid="{00000000-0005-0000-0000-0000AD500000}"/>
    <cellStyle name="SAPBEXstdItemX 3 6 4" xfId="20368" xr:uid="{00000000-0005-0000-0000-0000AE500000}"/>
    <cellStyle name="SAPBEXstdItemX 3 7" xfId="20369" xr:uid="{00000000-0005-0000-0000-0000AF500000}"/>
    <cellStyle name="SAPBEXstdItemX 3 7 2" xfId="20370" xr:uid="{00000000-0005-0000-0000-0000B0500000}"/>
    <cellStyle name="SAPBEXstdItemX 3 7 3" xfId="20371" xr:uid="{00000000-0005-0000-0000-0000B1500000}"/>
    <cellStyle name="SAPBEXstdItemX 3 7 4" xfId="20372" xr:uid="{00000000-0005-0000-0000-0000B2500000}"/>
    <cellStyle name="SAPBEXstdItemX 3 8" xfId="20373" xr:uid="{00000000-0005-0000-0000-0000B3500000}"/>
    <cellStyle name="SAPBEXstdItemX 3 9" xfId="20374" xr:uid="{00000000-0005-0000-0000-0000B4500000}"/>
    <cellStyle name="SAPBEXstdItemX 30" xfId="20375" xr:uid="{00000000-0005-0000-0000-0000B5500000}"/>
    <cellStyle name="SAPBEXstdItemX 30 2" xfId="20376" xr:uid="{00000000-0005-0000-0000-0000B6500000}"/>
    <cellStyle name="SAPBEXstdItemX 30 3" xfId="20377" xr:uid="{00000000-0005-0000-0000-0000B7500000}"/>
    <cellStyle name="SAPBEXstdItemX 30 4" xfId="20378" xr:uid="{00000000-0005-0000-0000-0000B8500000}"/>
    <cellStyle name="SAPBEXstdItemX 30 5" xfId="20379" xr:uid="{00000000-0005-0000-0000-0000B9500000}"/>
    <cellStyle name="SAPBEXstdItemX 30 6" xfId="20380" xr:uid="{00000000-0005-0000-0000-0000BA500000}"/>
    <cellStyle name="SAPBEXstdItemX 31" xfId="20381" xr:uid="{00000000-0005-0000-0000-0000BB500000}"/>
    <cellStyle name="SAPBEXstdItemX 31 2" xfId="20382" xr:uid="{00000000-0005-0000-0000-0000BC500000}"/>
    <cellStyle name="SAPBEXstdItemX 31 3" xfId="20383" xr:uid="{00000000-0005-0000-0000-0000BD500000}"/>
    <cellStyle name="SAPBEXstdItemX 31 4" xfId="20384" xr:uid="{00000000-0005-0000-0000-0000BE500000}"/>
    <cellStyle name="SAPBEXstdItemX 31 5" xfId="20385" xr:uid="{00000000-0005-0000-0000-0000BF500000}"/>
    <cellStyle name="SAPBEXstdItemX 31 6" xfId="20386" xr:uid="{00000000-0005-0000-0000-0000C0500000}"/>
    <cellStyle name="SAPBEXstdItemX 32" xfId="20387" xr:uid="{00000000-0005-0000-0000-0000C1500000}"/>
    <cellStyle name="SAPBEXstdItemX 32 2" xfId="20388" xr:uid="{00000000-0005-0000-0000-0000C2500000}"/>
    <cellStyle name="SAPBEXstdItemX 32 3" xfId="20389" xr:uid="{00000000-0005-0000-0000-0000C3500000}"/>
    <cellStyle name="SAPBEXstdItemX 32 4" xfId="20390" xr:uid="{00000000-0005-0000-0000-0000C4500000}"/>
    <cellStyle name="SAPBEXstdItemX 32 5" xfId="20391" xr:uid="{00000000-0005-0000-0000-0000C5500000}"/>
    <cellStyle name="SAPBEXstdItemX 32 6" xfId="20392" xr:uid="{00000000-0005-0000-0000-0000C6500000}"/>
    <cellStyle name="SAPBEXstdItemX 33" xfId="20393" xr:uid="{00000000-0005-0000-0000-0000C7500000}"/>
    <cellStyle name="SAPBEXstdItemX 34" xfId="20394" xr:uid="{00000000-0005-0000-0000-0000C8500000}"/>
    <cellStyle name="SAPBEXstdItemX 35" xfId="20395" xr:uid="{00000000-0005-0000-0000-0000C9500000}"/>
    <cellStyle name="SAPBEXstdItemX 36" xfId="27799" xr:uid="{00000000-0005-0000-0000-0000CA500000}"/>
    <cellStyle name="SAPBEXstdItemX 37" xfId="27938" xr:uid="{00000000-0005-0000-0000-0000CB500000}"/>
    <cellStyle name="SAPBEXstdItemX 38" xfId="27943" xr:uid="{00000000-0005-0000-0000-0000CC500000}"/>
    <cellStyle name="SAPBEXstdItemX 39" xfId="27944" xr:uid="{00000000-0005-0000-0000-0000CD500000}"/>
    <cellStyle name="SAPBEXstdItemX 4" xfId="20396" xr:uid="{00000000-0005-0000-0000-0000CE500000}"/>
    <cellStyle name="SAPBEXstdItemX 4 2" xfId="20397" xr:uid="{00000000-0005-0000-0000-0000CF500000}"/>
    <cellStyle name="SAPBEXstdItemX 4 3" xfId="20398" xr:uid="{00000000-0005-0000-0000-0000D0500000}"/>
    <cellStyle name="SAPBEXstdItemX 4 4" xfId="20399" xr:uid="{00000000-0005-0000-0000-0000D1500000}"/>
    <cellStyle name="SAPBEXstdItemX 4 5" xfId="20400" xr:uid="{00000000-0005-0000-0000-0000D2500000}"/>
    <cellStyle name="SAPBEXstdItemX 4 6" xfId="20401" xr:uid="{00000000-0005-0000-0000-0000D3500000}"/>
    <cellStyle name="SAPBEXstdItemX 40" xfId="27942" xr:uid="{00000000-0005-0000-0000-0000D4500000}"/>
    <cellStyle name="SAPBEXstdItemX 41" xfId="27946" xr:uid="{00000000-0005-0000-0000-0000D5500000}"/>
    <cellStyle name="SAPBEXstdItemX 42" xfId="27945" xr:uid="{00000000-0005-0000-0000-0000D6500000}"/>
    <cellStyle name="SAPBEXstdItemX 43" xfId="28037" xr:uid="{00000000-0005-0000-0000-0000D7500000}"/>
    <cellStyle name="SAPBEXstdItemX 44" xfId="28050" xr:uid="{00000000-0005-0000-0000-0000D8500000}"/>
    <cellStyle name="SAPBEXstdItemX 45" xfId="28053" xr:uid="{00000000-0005-0000-0000-0000D9500000}"/>
    <cellStyle name="SAPBEXstdItemX 46" xfId="28052" xr:uid="{00000000-0005-0000-0000-0000DA500000}"/>
    <cellStyle name="SAPBEXstdItemX 47" xfId="28054" xr:uid="{00000000-0005-0000-0000-0000DB500000}"/>
    <cellStyle name="SAPBEXstdItemX 48" xfId="28056" xr:uid="{00000000-0005-0000-0000-0000DC500000}"/>
    <cellStyle name="SAPBEXstdItemX 49" xfId="28062" xr:uid="{00000000-0005-0000-0000-0000DD500000}"/>
    <cellStyle name="SAPBEXstdItemX 5" xfId="20402" xr:uid="{00000000-0005-0000-0000-0000DE500000}"/>
    <cellStyle name="SAPBEXstdItemX 5 2" xfId="20403" xr:uid="{00000000-0005-0000-0000-0000DF500000}"/>
    <cellStyle name="SAPBEXstdItemX 5 3" xfId="20404" xr:uid="{00000000-0005-0000-0000-0000E0500000}"/>
    <cellStyle name="SAPBEXstdItemX 5 4" xfId="20405" xr:uid="{00000000-0005-0000-0000-0000E1500000}"/>
    <cellStyle name="SAPBEXstdItemX 5 5" xfId="20406" xr:uid="{00000000-0005-0000-0000-0000E2500000}"/>
    <cellStyle name="SAPBEXstdItemX 5 6" xfId="20407" xr:uid="{00000000-0005-0000-0000-0000E3500000}"/>
    <cellStyle name="SAPBEXstdItemX 50" xfId="28058" xr:uid="{00000000-0005-0000-0000-0000E4500000}"/>
    <cellStyle name="SAPBEXstdItemX 51" xfId="28059" xr:uid="{00000000-0005-0000-0000-0000E5500000}"/>
    <cellStyle name="SAPBEXstdItemX 52" xfId="28063" xr:uid="{00000000-0005-0000-0000-0000E6500000}"/>
    <cellStyle name="SAPBEXstdItemX 53" xfId="28060" xr:uid="{00000000-0005-0000-0000-0000E7500000}"/>
    <cellStyle name="SAPBEXstdItemX 54" xfId="28061" xr:uid="{00000000-0005-0000-0000-0000E8500000}"/>
    <cellStyle name="SAPBEXstdItemX 55" xfId="28066" xr:uid="{00000000-0005-0000-0000-0000E9500000}"/>
    <cellStyle name="SAPBEXstdItemX 56" xfId="28065" xr:uid="{00000000-0005-0000-0000-0000EA500000}"/>
    <cellStyle name="SAPBEXstdItemX 57" xfId="28067" xr:uid="{00000000-0005-0000-0000-0000EB500000}"/>
    <cellStyle name="SAPBEXstdItemX 58" xfId="28064" xr:uid="{00000000-0005-0000-0000-0000EC500000}"/>
    <cellStyle name="SAPBEXstdItemX 59" xfId="28068" xr:uid="{00000000-0005-0000-0000-0000ED500000}"/>
    <cellStyle name="SAPBEXstdItemX 6" xfId="20408" xr:uid="{00000000-0005-0000-0000-0000EE500000}"/>
    <cellStyle name="SAPBEXstdItemX 6 10" xfId="20409" xr:uid="{00000000-0005-0000-0000-0000EF500000}"/>
    <cellStyle name="SAPBEXstdItemX 6 2" xfId="20410" xr:uid="{00000000-0005-0000-0000-0000F0500000}"/>
    <cellStyle name="SAPBEXstdItemX 6 2 2" xfId="20411" xr:uid="{00000000-0005-0000-0000-0000F1500000}"/>
    <cellStyle name="SAPBEXstdItemX 6 2 3" xfId="20412" xr:uid="{00000000-0005-0000-0000-0000F2500000}"/>
    <cellStyle name="SAPBEXstdItemX 6 2 4" xfId="20413" xr:uid="{00000000-0005-0000-0000-0000F3500000}"/>
    <cellStyle name="SAPBEXstdItemX 6 3" xfId="20414" xr:uid="{00000000-0005-0000-0000-0000F4500000}"/>
    <cellStyle name="SAPBEXstdItemX 6 3 2" xfId="20415" xr:uid="{00000000-0005-0000-0000-0000F5500000}"/>
    <cellStyle name="SAPBEXstdItemX 6 3 3" xfId="20416" xr:uid="{00000000-0005-0000-0000-0000F6500000}"/>
    <cellStyle name="SAPBEXstdItemX 6 3 4" xfId="20417" xr:uid="{00000000-0005-0000-0000-0000F7500000}"/>
    <cellStyle name="SAPBEXstdItemX 6 4" xfId="20418" xr:uid="{00000000-0005-0000-0000-0000F8500000}"/>
    <cellStyle name="SAPBEXstdItemX 6 4 2" xfId="20419" xr:uid="{00000000-0005-0000-0000-0000F9500000}"/>
    <cellStyle name="SAPBEXstdItemX 6 4 3" xfId="20420" xr:uid="{00000000-0005-0000-0000-0000FA500000}"/>
    <cellStyle name="SAPBEXstdItemX 6 4 4" xfId="20421" xr:uid="{00000000-0005-0000-0000-0000FB500000}"/>
    <cellStyle name="SAPBEXstdItemX 6 5" xfId="20422" xr:uid="{00000000-0005-0000-0000-0000FC500000}"/>
    <cellStyle name="SAPBEXstdItemX 6 5 2" xfId="20423" xr:uid="{00000000-0005-0000-0000-0000FD500000}"/>
    <cellStyle name="SAPBEXstdItemX 6 5 3" xfId="20424" xr:uid="{00000000-0005-0000-0000-0000FE500000}"/>
    <cellStyle name="SAPBEXstdItemX 6 5 4" xfId="20425" xr:uid="{00000000-0005-0000-0000-0000FF500000}"/>
    <cellStyle name="SAPBEXstdItemX 6 6" xfId="20426" xr:uid="{00000000-0005-0000-0000-000000510000}"/>
    <cellStyle name="SAPBEXstdItemX 6 7" xfId="20427" xr:uid="{00000000-0005-0000-0000-000001510000}"/>
    <cellStyle name="SAPBEXstdItemX 6 8" xfId="20428" xr:uid="{00000000-0005-0000-0000-000002510000}"/>
    <cellStyle name="SAPBEXstdItemX 6 9" xfId="20429" xr:uid="{00000000-0005-0000-0000-000003510000}"/>
    <cellStyle name="SAPBEXstdItemX 60" xfId="28070" xr:uid="{00000000-0005-0000-0000-000004510000}"/>
    <cellStyle name="SAPBEXstdItemX 61" xfId="28069" xr:uid="{00000000-0005-0000-0000-000005510000}"/>
    <cellStyle name="SAPBEXstdItemX 62" xfId="28076" xr:uid="{00000000-0005-0000-0000-000006510000}"/>
    <cellStyle name="SAPBEXstdItemX 63" xfId="28072" xr:uid="{00000000-0005-0000-0000-000007510000}"/>
    <cellStyle name="SAPBEXstdItemX 64" xfId="28073" xr:uid="{00000000-0005-0000-0000-000008510000}"/>
    <cellStyle name="SAPBEXstdItemX 65" xfId="28077" xr:uid="{00000000-0005-0000-0000-000009510000}"/>
    <cellStyle name="SAPBEXstdItemX 66" xfId="28074" xr:uid="{00000000-0005-0000-0000-00000A510000}"/>
    <cellStyle name="SAPBEXstdItemX 67" xfId="28075" xr:uid="{00000000-0005-0000-0000-00000B510000}"/>
    <cellStyle name="SAPBEXstdItemX 68" xfId="28088" xr:uid="{00000000-0005-0000-0000-00000C510000}"/>
    <cellStyle name="SAPBEXstdItemX 69" xfId="28081" xr:uid="{00000000-0005-0000-0000-00000D510000}"/>
    <cellStyle name="SAPBEXstdItemX 7" xfId="20430" xr:uid="{00000000-0005-0000-0000-00000E510000}"/>
    <cellStyle name="SAPBEXstdItemX 7 10" xfId="20431" xr:uid="{00000000-0005-0000-0000-00000F510000}"/>
    <cellStyle name="SAPBEXstdItemX 7 2" xfId="20432" xr:uid="{00000000-0005-0000-0000-000010510000}"/>
    <cellStyle name="SAPBEXstdItemX 7 2 2" xfId="20433" xr:uid="{00000000-0005-0000-0000-000011510000}"/>
    <cellStyle name="SAPBEXstdItemX 7 2 3" xfId="20434" xr:uid="{00000000-0005-0000-0000-000012510000}"/>
    <cellStyle name="SAPBEXstdItemX 7 2 4" xfId="20435" xr:uid="{00000000-0005-0000-0000-000013510000}"/>
    <cellStyle name="SAPBEXstdItemX 7 3" xfId="20436" xr:uid="{00000000-0005-0000-0000-000014510000}"/>
    <cellStyle name="SAPBEXstdItemX 7 3 2" xfId="20437" xr:uid="{00000000-0005-0000-0000-000015510000}"/>
    <cellStyle name="SAPBEXstdItemX 7 3 3" xfId="20438" xr:uid="{00000000-0005-0000-0000-000016510000}"/>
    <cellStyle name="SAPBEXstdItemX 7 3 4" xfId="20439" xr:uid="{00000000-0005-0000-0000-000017510000}"/>
    <cellStyle name="SAPBEXstdItemX 7 4" xfId="20440" xr:uid="{00000000-0005-0000-0000-000018510000}"/>
    <cellStyle name="SAPBEXstdItemX 7 4 2" xfId="20441" xr:uid="{00000000-0005-0000-0000-000019510000}"/>
    <cellStyle name="SAPBEXstdItemX 7 4 3" xfId="20442" xr:uid="{00000000-0005-0000-0000-00001A510000}"/>
    <cellStyle name="SAPBEXstdItemX 7 4 4" xfId="20443" xr:uid="{00000000-0005-0000-0000-00001B510000}"/>
    <cellStyle name="SAPBEXstdItemX 7 5" xfId="20444" xr:uid="{00000000-0005-0000-0000-00001C510000}"/>
    <cellStyle name="SAPBEXstdItemX 7 5 2" xfId="20445" xr:uid="{00000000-0005-0000-0000-00001D510000}"/>
    <cellStyle name="SAPBEXstdItemX 7 5 3" xfId="20446" xr:uid="{00000000-0005-0000-0000-00001E510000}"/>
    <cellStyle name="SAPBEXstdItemX 7 5 4" xfId="20447" xr:uid="{00000000-0005-0000-0000-00001F510000}"/>
    <cellStyle name="SAPBEXstdItemX 7 6" xfId="20448" xr:uid="{00000000-0005-0000-0000-000020510000}"/>
    <cellStyle name="SAPBEXstdItemX 7 7" xfId="20449" xr:uid="{00000000-0005-0000-0000-000021510000}"/>
    <cellStyle name="SAPBEXstdItemX 7 8" xfId="20450" xr:uid="{00000000-0005-0000-0000-000022510000}"/>
    <cellStyle name="SAPBEXstdItemX 7 9" xfId="20451" xr:uid="{00000000-0005-0000-0000-000023510000}"/>
    <cellStyle name="SAPBEXstdItemX 70" xfId="28082" xr:uid="{00000000-0005-0000-0000-000024510000}"/>
    <cellStyle name="SAPBEXstdItemX 71" xfId="28089" xr:uid="{00000000-0005-0000-0000-000025510000}"/>
    <cellStyle name="SAPBEXstdItemX 72" xfId="28096" xr:uid="{00000000-0005-0000-0000-000026510000}"/>
    <cellStyle name="SAPBEXstdItemX 73" xfId="28097" xr:uid="{00000000-0005-0000-0000-000027510000}"/>
    <cellStyle name="SAPBEXstdItemX 74" xfId="28092" xr:uid="{00000000-0005-0000-0000-000028510000}"/>
    <cellStyle name="SAPBEXstdItemX 75" xfId="28098" xr:uid="{00000000-0005-0000-0000-000029510000}"/>
    <cellStyle name="SAPBEXstdItemX 76" xfId="28093" xr:uid="{00000000-0005-0000-0000-00002A510000}"/>
    <cellStyle name="SAPBEXstdItemX 77" xfId="28094" xr:uid="{00000000-0005-0000-0000-00002B510000}"/>
    <cellStyle name="SAPBEXstdItemX 78" xfId="28091" xr:uid="{00000000-0005-0000-0000-00002C510000}"/>
    <cellStyle name="SAPBEXstdItemX 79" xfId="28095" xr:uid="{00000000-0005-0000-0000-00002D510000}"/>
    <cellStyle name="SAPBEXstdItemX 8" xfId="20452" xr:uid="{00000000-0005-0000-0000-00002E510000}"/>
    <cellStyle name="SAPBEXstdItemX 8 2" xfId="20453" xr:uid="{00000000-0005-0000-0000-00002F510000}"/>
    <cellStyle name="SAPBEXstdItemX 8 3" xfId="20454" xr:uid="{00000000-0005-0000-0000-000030510000}"/>
    <cellStyle name="SAPBEXstdItemX 8 4" xfId="20455" xr:uid="{00000000-0005-0000-0000-000031510000}"/>
    <cellStyle name="SAPBEXstdItemX 8 5" xfId="20456" xr:uid="{00000000-0005-0000-0000-000032510000}"/>
    <cellStyle name="SAPBEXstdItemX 8 6" xfId="20457" xr:uid="{00000000-0005-0000-0000-000033510000}"/>
    <cellStyle name="SAPBEXstdItemX 80" xfId="28104" xr:uid="{00000000-0005-0000-0000-000034510000}"/>
    <cellStyle name="SAPBEXstdItemX 81" xfId="28100" xr:uid="{00000000-0005-0000-0000-000035510000}"/>
    <cellStyle name="SAPBEXstdItemX 82" xfId="28106" xr:uid="{00000000-0005-0000-0000-000036510000}"/>
    <cellStyle name="SAPBEXstdItemX 83" xfId="28099" xr:uid="{00000000-0005-0000-0000-000037510000}"/>
    <cellStyle name="SAPBEXstdItemX 84" xfId="28102" xr:uid="{00000000-0005-0000-0000-000038510000}"/>
    <cellStyle name="SAPBEXstdItemX 85" xfId="28103" xr:uid="{00000000-0005-0000-0000-000039510000}"/>
    <cellStyle name="SAPBEXstdItemX 86" xfId="28101" xr:uid="{00000000-0005-0000-0000-00003A510000}"/>
    <cellStyle name="SAPBEXstdItemX 87" xfId="28105" xr:uid="{00000000-0005-0000-0000-00003B510000}"/>
    <cellStyle name="SAPBEXstdItemX 88" xfId="28112" xr:uid="{00000000-0005-0000-0000-00003C510000}"/>
    <cellStyle name="SAPBEXstdItemX 89" xfId="28108" xr:uid="{00000000-0005-0000-0000-00003D510000}"/>
    <cellStyle name="SAPBEXstdItemX 9" xfId="20458" xr:uid="{00000000-0005-0000-0000-00003E510000}"/>
    <cellStyle name="SAPBEXstdItemX 9 2" xfId="20459" xr:uid="{00000000-0005-0000-0000-00003F510000}"/>
    <cellStyle name="SAPBEXstdItemX 9 3" xfId="20460" xr:uid="{00000000-0005-0000-0000-000040510000}"/>
    <cellStyle name="SAPBEXstdItemX 9 4" xfId="20461" xr:uid="{00000000-0005-0000-0000-000041510000}"/>
    <cellStyle name="SAPBEXstdItemX 9 5" xfId="20462" xr:uid="{00000000-0005-0000-0000-000042510000}"/>
    <cellStyle name="SAPBEXstdItemX 9 6" xfId="20463" xr:uid="{00000000-0005-0000-0000-000043510000}"/>
    <cellStyle name="SAPBEXstdItemX 90" xfId="28109" xr:uid="{00000000-0005-0000-0000-000044510000}"/>
    <cellStyle name="SAPBEXstdItemX 91" xfId="28113" xr:uid="{00000000-0005-0000-0000-000045510000}"/>
    <cellStyle name="SAPBEXstdItemX 92" xfId="28110" xr:uid="{00000000-0005-0000-0000-000046510000}"/>
    <cellStyle name="SAPBEXstdItemX 93" xfId="28111" xr:uid="{00000000-0005-0000-0000-000047510000}"/>
    <cellStyle name="SAPBEXstdItemX 94" xfId="28119" xr:uid="{00000000-0005-0000-0000-000048510000}"/>
    <cellStyle name="SAPBEXstdItemX 95" xfId="28115" xr:uid="{00000000-0005-0000-0000-000049510000}"/>
    <cellStyle name="SAPBEXstdItemX 96" xfId="28120" xr:uid="{00000000-0005-0000-0000-00004A510000}"/>
    <cellStyle name="SAPBEXstdItemX 97" xfId="28114" xr:uid="{00000000-0005-0000-0000-00004B510000}"/>
    <cellStyle name="SAPBEXstdItemX 98" xfId="28117" xr:uid="{00000000-0005-0000-0000-00004C510000}"/>
    <cellStyle name="SAPBEXstdItemX 99" xfId="28118" xr:uid="{00000000-0005-0000-0000-00004D510000}"/>
    <cellStyle name="SAPBEXstdItemX_2009 05 22 Cash flow (2009) (20)" xfId="20464" xr:uid="{00000000-0005-0000-0000-00004E510000}"/>
    <cellStyle name="SAPBEXtitle" xfId="20465" xr:uid="{00000000-0005-0000-0000-00004F510000}"/>
    <cellStyle name="SAPBEXtitle 10" xfId="20466" xr:uid="{00000000-0005-0000-0000-000050510000}"/>
    <cellStyle name="SAPBEXtitle 10 2" xfId="20467" xr:uid="{00000000-0005-0000-0000-000051510000}"/>
    <cellStyle name="SAPBEXtitle 10 3" xfId="20468" xr:uid="{00000000-0005-0000-0000-000052510000}"/>
    <cellStyle name="SAPBEXtitle 10 4" xfId="20469" xr:uid="{00000000-0005-0000-0000-000053510000}"/>
    <cellStyle name="SAPBEXtitle 10 5" xfId="20470" xr:uid="{00000000-0005-0000-0000-000054510000}"/>
    <cellStyle name="SAPBEXtitle 10 6" xfId="20471" xr:uid="{00000000-0005-0000-0000-000055510000}"/>
    <cellStyle name="SAPBEXtitle 100" xfId="20472" xr:uid="{00000000-0005-0000-0000-000056510000}"/>
    <cellStyle name="SAPBEXtitle 101" xfId="20473" xr:uid="{00000000-0005-0000-0000-000057510000}"/>
    <cellStyle name="SAPBEXtitle 102" xfId="20474" xr:uid="{00000000-0005-0000-0000-000058510000}"/>
    <cellStyle name="SAPBEXtitle 103" xfId="20475" xr:uid="{00000000-0005-0000-0000-000059510000}"/>
    <cellStyle name="SAPBEXtitle 104" xfId="20476" xr:uid="{00000000-0005-0000-0000-00005A510000}"/>
    <cellStyle name="SAPBEXtitle 105" xfId="20477" xr:uid="{00000000-0005-0000-0000-00005B510000}"/>
    <cellStyle name="SAPBEXtitle 106" xfId="20478" xr:uid="{00000000-0005-0000-0000-00005C510000}"/>
    <cellStyle name="SAPBEXtitle 107" xfId="20479" xr:uid="{00000000-0005-0000-0000-00005D510000}"/>
    <cellStyle name="SAPBEXtitle 108" xfId="20480" xr:uid="{00000000-0005-0000-0000-00005E510000}"/>
    <cellStyle name="SAPBEXtitle 109" xfId="20481" xr:uid="{00000000-0005-0000-0000-00005F510000}"/>
    <cellStyle name="SAPBEXtitle 11" xfId="20482" xr:uid="{00000000-0005-0000-0000-000060510000}"/>
    <cellStyle name="SAPBEXtitle 11 2" xfId="20483" xr:uid="{00000000-0005-0000-0000-000061510000}"/>
    <cellStyle name="SAPBEXtitle 11 3" xfId="20484" xr:uid="{00000000-0005-0000-0000-000062510000}"/>
    <cellStyle name="SAPBEXtitle 11 4" xfId="20485" xr:uid="{00000000-0005-0000-0000-000063510000}"/>
    <cellStyle name="SAPBEXtitle 11 5" xfId="20486" xr:uid="{00000000-0005-0000-0000-000064510000}"/>
    <cellStyle name="SAPBEXtitle 11 6" xfId="20487" xr:uid="{00000000-0005-0000-0000-000065510000}"/>
    <cellStyle name="SAPBEXtitle 110" xfId="20488" xr:uid="{00000000-0005-0000-0000-000066510000}"/>
    <cellStyle name="SAPBEXtitle 111" xfId="20489" xr:uid="{00000000-0005-0000-0000-000067510000}"/>
    <cellStyle name="SAPBEXtitle 112" xfId="20490" xr:uid="{00000000-0005-0000-0000-000068510000}"/>
    <cellStyle name="SAPBEXtitle 113" xfId="20491" xr:uid="{00000000-0005-0000-0000-000069510000}"/>
    <cellStyle name="SAPBEXtitle 114" xfId="20492" xr:uid="{00000000-0005-0000-0000-00006A510000}"/>
    <cellStyle name="SAPBEXtitle 115" xfId="20493" xr:uid="{00000000-0005-0000-0000-00006B510000}"/>
    <cellStyle name="SAPBEXtitle 116" xfId="20494" xr:uid="{00000000-0005-0000-0000-00006C510000}"/>
    <cellStyle name="SAPBEXtitle 117" xfId="20495" xr:uid="{00000000-0005-0000-0000-00006D510000}"/>
    <cellStyle name="SAPBEXtitle 118" xfId="20496" xr:uid="{00000000-0005-0000-0000-00006E510000}"/>
    <cellStyle name="SAPBEXtitle 119" xfId="20497" xr:uid="{00000000-0005-0000-0000-00006F510000}"/>
    <cellStyle name="SAPBEXtitle 12" xfId="20498" xr:uid="{00000000-0005-0000-0000-000070510000}"/>
    <cellStyle name="SAPBEXtitle 12 2" xfId="20499" xr:uid="{00000000-0005-0000-0000-000071510000}"/>
    <cellStyle name="SAPBEXtitle 12 3" xfId="20500" xr:uid="{00000000-0005-0000-0000-000072510000}"/>
    <cellStyle name="SAPBEXtitle 12 4" xfId="20501" xr:uid="{00000000-0005-0000-0000-000073510000}"/>
    <cellStyle name="SAPBEXtitle 12 5" xfId="20502" xr:uid="{00000000-0005-0000-0000-000074510000}"/>
    <cellStyle name="SAPBEXtitle 12 6" xfId="20503" xr:uid="{00000000-0005-0000-0000-000075510000}"/>
    <cellStyle name="SAPBEXtitle 120" xfId="20504" xr:uid="{00000000-0005-0000-0000-000076510000}"/>
    <cellStyle name="SAPBEXtitle 121" xfId="20505" xr:uid="{00000000-0005-0000-0000-000077510000}"/>
    <cellStyle name="SAPBEXtitle 122" xfId="20506" xr:uid="{00000000-0005-0000-0000-000078510000}"/>
    <cellStyle name="SAPBEXtitle 123" xfId="20507" xr:uid="{00000000-0005-0000-0000-000079510000}"/>
    <cellStyle name="SAPBEXtitle 124" xfId="20508" xr:uid="{00000000-0005-0000-0000-00007A510000}"/>
    <cellStyle name="SAPBEXtitle 125" xfId="20509" xr:uid="{00000000-0005-0000-0000-00007B510000}"/>
    <cellStyle name="SAPBEXtitle 126" xfId="20510" xr:uid="{00000000-0005-0000-0000-00007C510000}"/>
    <cellStyle name="SAPBEXtitle 127" xfId="20511" xr:uid="{00000000-0005-0000-0000-00007D510000}"/>
    <cellStyle name="SAPBEXtitle 128" xfId="20512" xr:uid="{00000000-0005-0000-0000-00007E510000}"/>
    <cellStyle name="SAPBEXtitle 129" xfId="20513" xr:uid="{00000000-0005-0000-0000-00007F510000}"/>
    <cellStyle name="SAPBEXtitle 13" xfId="20514" xr:uid="{00000000-0005-0000-0000-000080510000}"/>
    <cellStyle name="SAPBEXtitle 13 2" xfId="20515" xr:uid="{00000000-0005-0000-0000-000081510000}"/>
    <cellStyle name="SAPBEXtitle 13 3" xfId="20516" xr:uid="{00000000-0005-0000-0000-000082510000}"/>
    <cellStyle name="SAPBEXtitle 13 4" xfId="20517" xr:uid="{00000000-0005-0000-0000-000083510000}"/>
    <cellStyle name="SAPBEXtitle 13 5" xfId="20518" xr:uid="{00000000-0005-0000-0000-000084510000}"/>
    <cellStyle name="SAPBEXtitle 13 6" xfId="20519" xr:uid="{00000000-0005-0000-0000-000085510000}"/>
    <cellStyle name="SAPBEXtitle 130" xfId="20520" xr:uid="{00000000-0005-0000-0000-000086510000}"/>
    <cellStyle name="SAPBEXtitle 131" xfId="20521" xr:uid="{00000000-0005-0000-0000-000087510000}"/>
    <cellStyle name="SAPBEXtitle 132" xfId="20522" xr:uid="{00000000-0005-0000-0000-000088510000}"/>
    <cellStyle name="SAPBEXtitle 133" xfId="20523" xr:uid="{00000000-0005-0000-0000-000089510000}"/>
    <cellStyle name="SAPBEXtitle 134" xfId="20524" xr:uid="{00000000-0005-0000-0000-00008A510000}"/>
    <cellStyle name="SAPBEXtitle 135" xfId="20525" xr:uid="{00000000-0005-0000-0000-00008B510000}"/>
    <cellStyle name="SAPBEXtitle 136" xfId="20526" xr:uid="{00000000-0005-0000-0000-00008C510000}"/>
    <cellStyle name="SAPBEXtitle 137" xfId="20527" xr:uid="{00000000-0005-0000-0000-00008D510000}"/>
    <cellStyle name="SAPBEXtitle 138" xfId="20528" xr:uid="{00000000-0005-0000-0000-00008E510000}"/>
    <cellStyle name="SAPBEXtitle 139" xfId="20529" xr:uid="{00000000-0005-0000-0000-00008F510000}"/>
    <cellStyle name="SAPBEXtitle 14" xfId="20530" xr:uid="{00000000-0005-0000-0000-000090510000}"/>
    <cellStyle name="SAPBEXtitle 14 2" xfId="20531" xr:uid="{00000000-0005-0000-0000-000091510000}"/>
    <cellStyle name="SAPBEXtitle 14 3" xfId="20532" xr:uid="{00000000-0005-0000-0000-000092510000}"/>
    <cellStyle name="SAPBEXtitle 14 4" xfId="20533" xr:uid="{00000000-0005-0000-0000-000093510000}"/>
    <cellStyle name="SAPBEXtitle 14 5" xfId="20534" xr:uid="{00000000-0005-0000-0000-000094510000}"/>
    <cellStyle name="SAPBEXtitle 14 6" xfId="20535" xr:uid="{00000000-0005-0000-0000-000095510000}"/>
    <cellStyle name="SAPBEXtitle 140" xfId="20536" xr:uid="{00000000-0005-0000-0000-000096510000}"/>
    <cellStyle name="SAPBEXtitle 141" xfId="20537" xr:uid="{00000000-0005-0000-0000-000097510000}"/>
    <cellStyle name="SAPBEXtitle 142" xfId="20538" xr:uid="{00000000-0005-0000-0000-000098510000}"/>
    <cellStyle name="SAPBEXtitle 143" xfId="20539" xr:uid="{00000000-0005-0000-0000-000099510000}"/>
    <cellStyle name="SAPBEXtitle 144" xfId="20540" xr:uid="{00000000-0005-0000-0000-00009A510000}"/>
    <cellStyle name="SAPBEXtitle 145" xfId="20541" xr:uid="{00000000-0005-0000-0000-00009B510000}"/>
    <cellStyle name="SAPBEXtitle 146" xfId="20542" xr:uid="{00000000-0005-0000-0000-00009C510000}"/>
    <cellStyle name="SAPBEXtitle 147" xfId="20543" xr:uid="{00000000-0005-0000-0000-00009D510000}"/>
    <cellStyle name="SAPBEXtitle 148" xfId="20544" xr:uid="{00000000-0005-0000-0000-00009E510000}"/>
    <cellStyle name="SAPBEXtitle 149" xfId="20545" xr:uid="{00000000-0005-0000-0000-00009F510000}"/>
    <cellStyle name="SAPBEXtitle 15" xfId="20546" xr:uid="{00000000-0005-0000-0000-0000A0510000}"/>
    <cellStyle name="SAPBEXtitle 15 2" xfId="20547" xr:uid="{00000000-0005-0000-0000-0000A1510000}"/>
    <cellStyle name="SAPBEXtitle 15 3" xfId="20548" xr:uid="{00000000-0005-0000-0000-0000A2510000}"/>
    <cellStyle name="SAPBEXtitle 15 4" xfId="20549" xr:uid="{00000000-0005-0000-0000-0000A3510000}"/>
    <cellStyle name="SAPBEXtitle 15 5" xfId="20550" xr:uid="{00000000-0005-0000-0000-0000A4510000}"/>
    <cellStyle name="SAPBEXtitle 15 6" xfId="20551" xr:uid="{00000000-0005-0000-0000-0000A5510000}"/>
    <cellStyle name="SAPBEXtitle 150" xfId="20552" xr:uid="{00000000-0005-0000-0000-0000A6510000}"/>
    <cellStyle name="SAPBEXtitle 151" xfId="20553" xr:uid="{00000000-0005-0000-0000-0000A7510000}"/>
    <cellStyle name="SAPBEXtitle 152" xfId="20554" xr:uid="{00000000-0005-0000-0000-0000A8510000}"/>
    <cellStyle name="SAPBEXtitle 153" xfId="20555" xr:uid="{00000000-0005-0000-0000-0000A9510000}"/>
    <cellStyle name="SAPBEXtitle 154" xfId="20556" xr:uid="{00000000-0005-0000-0000-0000AA510000}"/>
    <cellStyle name="SAPBEXtitle 155" xfId="20557" xr:uid="{00000000-0005-0000-0000-0000AB510000}"/>
    <cellStyle name="SAPBEXtitle 156" xfId="20558" xr:uid="{00000000-0005-0000-0000-0000AC510000}"/>
    <cellStyle name="SAPBEXtitle 157" xfId="20559" xr:uid="{00000000-0005-0000-0000-0000AD510000}"/>
    <cellStyle name="SAPBEXtitle 158" xfId="20560" xr:uid="{00000000-0005-0000-0000-0000AE510000}"/>
    <cellStyle name="SAPBEXtitle 159" xfId="20561" xr:uid="{00000000-0005-0000-0000-0000AF510000}"/>
    <cellStyle name="SAPBEXtitle 16" xfId="20562" xr:uid="{00000000-0005-0000-0000-0000B0510000}"/>
    <cellStyle name="SAPBEXtitle 16 2" xfId="20563" xr:uid="{00000000-0005-0000-0000-0000B1510000}"/>
    <cellStyle name="SAPBEXtitle 16 3" xfId="20564" xr:uid="{00000000-0005-0000-0000-0000B2510000}"/>
    <cellStyle name="SAPBEXtitle 16 4" xfId="20565" xr:uid="{00000000-0005-0000-0000-0000B3510000}"/>
    <cellStyle name="SAPBEXtitle 16 5" xfId="20566" xr:uid="{00000000-0005-0000-0000-0000B4510000}"/>
    <cellStyle name="SAPBEXtitle 16 6" xfId="20567" xr:uid="{00000000-0005-0000-0000-0000B5510000}"/>
    <cellStyle name="SAPBEXtitle 160" xfId="20568" xr:uid="{00000000-0005-0000-0000-0000B6510000}"/>
    <cellStyle name="SAPBEXtitle 161" xfId="20569" xr:uid="{00000000-0005-0000-0000-0000B7510000}"/>
    <cellStyle name="SAPBEXtitle 162" xfId="20570" xr:uid="{00000000-0005-0000-0000-0000B8510000}"/>
    <cellStyle name="SAPBEXtitle 163" xfId="20571" xr:uid="{00000000-0005-0000-0000-0000B9510000}"/>
    <cellStyle name="SAPBEXtitle 164" xfId="20572" xr:uid="{00000000-0005-0000-0000-0000BA510000}"/>
    <cellStyle name="SAPBEXtitle 165" xfId="20573" xr:uid="{00000000-0005-0000-0000-0000BB510000}"/>
    <cellStyle name="SAPBEXtitle 166" xfId="20574" xr:uid="{00000000-0005-0000-0000-0000BC510000}"/>
    <cellStyle name="SAPBEXtitle 167" xfId="20575" xr:uid="{00000000-0005-0000-0000-0000BD510000}"/>
    <cellStyle name="SAPBEXtitle 168" xfId="20576" xr:uid="{00000000-0005-0000-0000-0000BE510000}"/>
    <cellStyle name="SAPBEXtitle 169" xfId="20577" xr:uid="{00000000-0005-0000-0000-0000BF510000}"/>
    <cellStyle name="SAPBEXtitle 17" xfId="20578" xr:uid="{00000000-0005-0000-0000-0000C0510000}"/>
    <cellStyle name="SAPBEXtitle 17 2" xfId="20579" xr:uid="{00000000-0005-0000-0000-0000C1510000}"/>
    <cellStyle name="SAPBEXtitle 17 3" xfId="20580" xr:uid="{00000000-0005-0000-0000-0000C2510000}"/>
    <cellStyle name="SAPBEXtitle 17 4" xfId="20581" xr:uid="{00000000-0005-0000-0000-0000C3510000}"/>
    <cellStyle name="SAPBEXtitle 17 5" xfId="20582" xr:uid="{00000000-0005-0000-0000-0000C4510000}"/>
    <cellStyle name="SAPBEXtitle 17 6" xfId="20583" xr:uid="{00000000-0005-0000-0000-0000C5510000}"/>
    <cellStyle name="SAPBEXtitle 170" xfId="20584" xr:uid="{00000000-0005-0000-0000-0000C6510000}"/>
    <cellStyle name="SAPBEXtitle 171" xfId="20585" xr:uid="{00000000-0005-0000-0000-0000C7510000}"/>
    <cellStyle name="SAPBEXtitle 172" xfId="27798" xr:uid="{00000000-0005-0000-0000-0000C8510000}"/>
    <cellStyle name="SAPBEXtitle 173" xfId="27939" xr:uid="{00000000-0005-0000-0000-0000C9510000}"/>
    <cellStyle name="SAPBEXtitle 174" xfId="28038" xr:uid="{00000000-0005-0000-0000-0000CA510000}"/>
    <cellStyle name="SAPBEXtitle 18" xfId="20586" xr:uid="{00000000-0005-0000-0000-0000CB510000}"/>
    <cellStyle name="SAPBEXtitle 18 2" xfId="20587" xr:uid="{00000000-0005-0000-0000-0000CC510000}"/>
    <cellStyle name="SAPBEXtitle 18 3" xfId="20588" xr:uid="{00000000-0005-0000-0000-0000CD510000}"/>
    <cellStyle name="SAPBEXtitle 18 4" xfId="20589" xr:uid="{00000000-0005-0000-0000-0000CE510000}"/>
    <cellStyle name="SAPBEXtitle 18 5" xfId="20590" xr:uid="{00000000-0005-0000-0000-0000CF510000}"/>
    <cellStyle name="SAPBEXtitle 18 6" xfId="20591" xr:uid="{00000000-0005-0000-0000-0000D0510000}"/>
    <cellStyle name="SAPBEXtitle 19" xfId="20592" xr:uid="{00000000-0005-0000-0000-0000D1510000}"/>
    <cellStyle name="SAPBEXtitle 19 2" xfId="20593" xr:uid="{00000000-0005-0000-0000-0000D2510000}"/>
    <cellStyle name="SAPBEXtitle 19 3" xfId="20594" xr:uid="{00000000-0005-0000-0000-0000D3510000}"/>
    <cellStyle name="SAPBEXtitle 19 4" xfId="20595" xr:uid="{00000000-0005-0000-0000-0000D4510000}"/>
    <cellStyle name="SAPBEXtitle 19 5" xfId="20596" xr:uid="{00000000-0005-0000-0000-0000D5510000}"/>
    <cellStyle name="SAPBEXtitle 19 6" xfId="20597" xr:uid="{00000000-0005-0000-0000-0000D6510000}"/>
    <cellStyle name="SAPBEXtitle 2" xfId="20598" xr:uid="{00000000-0005-0000-0000-0000D7510000}"/>
    <cellStyle name="SAPBEXtitle 2 10" xfId="20599" xr:uid="{00000000-0005-0000-0000-0000D8510000}"/>
    <cellStyle name="SAPBEXtitle 2 11" xfId="20600" xr:uid="{00000000-0005-0000-0000-0000D9510000}"/>
    <cellStyle name="SAPBEXtitle 2 12" xfId="20601" xr:uid="{00000000-0005-0000-0000-0000DA510000}"/>
    <cellStyle name="SAPBEXtitle 2 13" xfId="20602" xr:uid="{00000000-0005-0000-0000-0000DB510000}"/>
    <cellStyle name="SAPBEXtitle 2 14" xfId="20603" xr:uid="{00000000-0005-0000-0000-0000DC510000}"/>
    <cellStyle name="SAPBEXtitle 2 15" xfId="20604" xr:uid="{00000000-0005-0000-0000-0000DD510000}"/>
    <cellStyle name="SAPBEXtitle 2 16" xfId="20605" xr:uid="{00000000-0005-0000-0000-0000DE510000}"/>
    <cellStyle name="SAPBEXtitle 2 17" xfId="20606" xr:uid="{00000000-0005-0000-0000-0000DF510000}"/>
    <cellStyle name="SAPBEXtitle 2 18" xfId="20607" xr:uid="{00000000-0005-0000-0000-0000E0510000}"/>
    <cellStyle name="SAPBEXtitle 2 2" xfId="20608" xr:uid="{00000000-0005-0000-0000-0000E1510000}"/>
    <cellStyle name="SAPBEXtitle 2 2 2" xfId="20609" xr:uid="{00000000-0005-0000-0000-0000E2510000}"/>
    <cellStyle name="SAPBEXtitle 2 2 2 2" xfId="20610" xr:uid="{00000000-0005-0000-0000-0000E3510000}"/>
    <cellStyle name="SAPBEXtitle 2 2 2 3" xfId="20611" xr:uid="{00000000-0005-0000-0000-0000E4510000}"/>
    <cellStyle name="SAPBEXtitle 2 2 2 4" xfId="20612" xr:uid="{00000000-0005-0000-0000-0000E5510000}"/>
    <cellStyle name="SAPBEXtitle 2 2 2 5" xfId="20613" xr:uid="{00000000-0005-0000-0000-0000E6510000}"/>
    <cellStyle name="SAPBEXtitle 2 2 2 6" xfId="20614" xr:uid="{00000000-0005-0000-0000-0000E7510000}"/>
    <cellStyle name="SAPBEXtitle 2 2 3" xfId="20615" xr:uid="{00000000-0005-0000-0000-0000E8510000}"/>
    <cellStyle name="SAPBEXtitle 2 2 3 2" xfId="20616" xr:uid="{00000000-0005-0000-0000-0000E9510000}"/>
    <cellStyle name="SAPBEXtitle 2 2 3 3" xfId="20617" xr:uid="{00000000-0005-0000-0000-0000EA510000}"/>
    <cellStyle name="SAPBEXtitle 2 2 3 4" xfId="20618" xr:uid="{00000000-0005-0000-0000-0000EB510000}"/>
    <cellStyle name="SAPBEXtitle 2 2 3 5" xfId="20619" xr:uid="{00000000-0005-0000-0000-0000EC510000}"/>
    <cellStyle name="SAPBEXtitle 2 2 3 6" xfId="20620" xr:uid="{00000000-0005-0000-0000-0000ED510000}"/>
    <cellStyle name="SAPBEXtitle 2 2 4" xfId="20621" xr:uid="{00000000-0005-0000-0000-0000EE510000}"/>
    <cellStyle name="SAPBEXtitle 2 2 4 2" xfId="20622" xr:uid="{00000000-0005-0000-0000-0000EF510000}"/>
    <cellStyle name="SAPBEXtitle 2 2 4 3" xfId="20623" xr:uid="{00000000-0005-0000-0000-0000F0510000}"/>
    <cellStyle name="SAPBEXtitle 2 2 4 4" xfId="20624" xr:uid="{00000000-0005-0000-0000-0000F1510000}"/>
    <cellStyle name="SAPBEXtitle 2 2 4 5" xfId="20625" xr:uid="{00000000-0005-0000-0000-0000F2510000}"/>
    <cellStyle name="SAPBEXtitle 2 2 4 6" xfId="20626" xr:uid="{00000000-0005-0000-0000-0000F3510000}"/>
    <cellStyle name="SAPBEXtitle 2 2 5" xfId="20627" xr:uid="{00000000-0005-0000-0000-0000F4510000}"/>
    <cellStyle name="SAPBEXtitle 2 2 5 2" xfId="20628" xr:uid="{00000000-0005-0000-0000-0000F5510000}"/>
    <cellStyle name="SAPBEXtitle 2 2 5 3" xfId="20629" xr:uid="{00000000-0005-0000-0000-0000F6510000}"/>
    <cellStyle name="SAPBEXtitle 2 2 5 4" xfId="20630" xr:uid="{00000000-0005-0000-0000-0000F7510000}"/>
    <cellStyle name="SAPBEXtitle 2 2 5 5" xfId="20631" xr:uid="{00000000-0005-0000-0000-0000F8510000}"/>
    <cellStyle name="SAPBEXtitle 2 2 5 6" xfId="20632" xr:uid="{00000000-0005-0000-0000-0000F9510000}"/>
    <cellStyle name="SAPBEXtitle 2 3" xfId="20633" xr:uid="{00000000-0005-0000-0000-0000FA510000}"/>
    <cellStyle name="SAPBEXtitle 2 3 2" xfId="20634" xr:uid="{00000000-0005-0000-0000-0000FB510000}"/>
    <cellStyle name="SAPBEXtitle 2 3 2 2" xfId="20635" xr:uid="{00000000-0005-0000-0000-0000FC510000}"/>
    <cellStyle name="SAPBEXtitle 2 3 2 3" xfId="20636" xr:uid="{00000000-0005-0000-0000-0000FD510000}"/>
    <cellStyle name="SAPBEXtitle 2 3 2 4" xfId="20637" xr:uid="{00000000-0005-0000-0000-0000FE510000}"/>
    <cellStyle name="SAPBEXtitle 2 3 2 5" xfId="20638" xr:uid="{00000000-0005-0000-0000-0000FF510000}"/>
    <cellStyle name="SAPBEXtitle 2 3 2 6" xfId="20639" xr:uid="{00000000-0005-0000-0000-000000520000}"/>
    <cellStyle name="SAPBEXtitle 2 3 3" xfId="20640" xr:uid="{00000000-0005-0000-0000-000001520000}"/>
    <cellStyle name="SAPBEXtitle 2 3 3 2" xfId="20641" xr:uid="{00000000-0005-0000-0000-000002520000}"/>
    <cellStyle name="SAPBEXtitle 2 3 3 3" xfId="20642" xr:uid="{00000000-0005-0000-0000-000003520000}"/>
    <cellStyle name="SAPBEXtitle 2 3 3 4" xfId="20643" xr:uid="{00000000-0005-0000-0000-000004520000}"/>
    <cellStyle name="SAPBEXtitle 2 3 3 5" xfId="20644" xr:uid="{00000000-0005-0000-0000-000005520000}"/>
    <cellStyle name="SAPBEXtitle 2 3 3 6" xfId="20645" xr:uid="{00000000-0005-0000-0000-000006520000}"/>
    <cellStyle name="SAPBEXtitle 2 3 4" xfId="20646" xr:uid="{00000000-0005-0000-0000-000007520000}"/>
    <cellStyle name="SAPBEXtitle 2 3 4 2" xfId="20647" xr:uid="{00000000-0005-0000-0000-000008520000}"/>
    <cellStyle name="SAPBEXtitle 2 3 4 3" xfId="20648" xr:uid="{00000000-0005-0000-0000-000009520000}"/>
    <cellStyle name="SAPBEXtitle 2 3 4 4" xfId="20649" xr:uid="{00000000-0005-0000-0000-00000A520000}"/>
    <cellStyle name="SAPBEXtitle 2 3 4 5" xfId="20650" xr:uid="{00000000-0005-0000-0000-00000B520000}"/>
    <cellStyle name="SAPBEXtitle 2 3 4 6" xfId="20651" xr:uid="{00000000-0005-0000-0000-00000C520000}"/>
    <cellStyle name="SAPBEXtitle 2 3 5" xfId="20652" xr:uid="{00000000-0005-0000-0000-00000D520000}"/>
    <cellStyle name="SAPBEXtitle 2 3 5 2" xfId="20653" xr:uid="{00000000-0005-0000-0000-00000E520000}"/>
    <cellStyle name="SAPBEXtitle 2 3 5 3" xfId="20654" xr:uid="{00000000-0005-0000-0000-00000F520000}"/>
    <cellStyle name="SAPBEXtitle 2 3 5 4" xfId="20655" xr:uid="{00000000-0005-0000-0000-000010520000}"/>
    <cellStyle name="SAPBEXtitle 2 3 5 5" xfId="20656" xr:uid="{00000000-0005-0000-0000-000011520000}"/>
    <cellStyle name="SAPBEXtitle 2 3 5 6" xfId="20657" xr:uid="{00000000-0005-0000-0000-000012520000}"/>
    <cellStyle name="SAPBEXtitle 2 4" xfId="20658" xr:uid="{00000000-0005-0000-0000-000013520000}"/>
    <cellStyle name="SAPBEXtitle 2 4 2" xfId="20659" xr:uid="{00000000-0005-0000-0000-000014520000}"/>
    <cellStyle name="SAPBEXtitle 2 4 2 2" xfId="20660" xr:uid="{00000000-0005-0000-0000-000015520000}"/>
    <cellStyle name="SAPBEXtitle 2 4 2 3" xfId="20661" xr:uid="{00000000-0005-0000-0000-000016520000}"/>
    <cellStyle name="SAPBEXtitle 2 4 2 4" xfId="20662" xr:uid="{00000000-0005-0000-0000-000017520000}"/>
    <cellStyle name="SAPBEXtitle 2 4 2 5" xfId="20663" xr:uid="{00000000-0005-0000-0000-000018520000}"/>
    <cellStyle name="SAPBEXtitle 2 4 2 6" xfId="20664" xr:uid="{00000000-0005-0000-0000-000019520000}"/>
    <cellStyle name="SAPBEXtitle 2 4 3" xfId="20665" xr:uid="{00000000-0005-0000-0000-00001A520000}"/>
    <cellStyle name="SAPBEXtitle 2 4 3 2" xfId="20666" xr:uid="{00000000-0005-0000-0000-00001B520000}"/>
    <cellStyle name="SAPBEXtitle 2 4 3 3" xfId="20667" xr:uid="{00000000-0005-0000-0000-00001C520000}"/>
    <cellStyle name="SAPBEXtitle 2 4 3 4" xfId="20668" xr:uid="{00000000-0005-0000-0000-00001D520000}"/>
    <cellStyle name="SAPBEXtitle 2 4 3 5" xfId="20669" xr:uid="{00000000-0005-0000-0000-00001E520000}"/>
    <cellStyle name="SAPBEXtitle 2 4 3 6" xfId="20670" xr:uid="{00000000-0005-0000-0000-00001F520000}"/>
    <cellStyle name="SAPBEXtitle 2 4 4" xfId="20671" xr:uid="{00000000-0005-0000-0000-000020520000}"/>
    <cellStyle name="SAPBEXtitle 2 4 4 2" xfId="20672" xr:uid="{00000000-0005-0000-0000-000021520000}"/>
    <cellStyle name="SAPBEXtitle 2 4 4 3" xfId="20673" xr:uid="{00000000-0005-0000-0000-000022520000}"/>
    <cellStyle name="SAPBEXtitle 2 4 4 4" xfId="20674" xr:uid="{00000000-0005-0000-0000-000023520000}"/>
    <cellStyle name="SAPBEXtitle 2 4 4 5" xfId="20675" xr:uid="{00000000-0005-0000-0000-000024520000}"/>
    <cellStyle name="SAPBEXtitle 2 4 4 6" xfId="20676" xr:uid="{00000000-0005-0000-0000-000025520000}"/>
    <cellStyle name="SAPBEXtitle 2 4 5" xfId="20677" xr:uid="{00000000-0005-0000-0000-000026520000}"/>
    <cellStyle name="SAPBEXtitle 2 4 5 2" xfId="20678" xr:uid="{00000000-0005-0000-0000-000027520000}"/>
    <cellStyle name="SAPBEXtitle 2 4 5 3" xfId="20679" xr:uid="{00000000-0005-0000-0000-000028520000}"/>
    <cellStyle name="SAPBEXtitle 2 4 5 4" xfId="20680" xr:uid="{00000000-0005-0000-0000-000029520000}"/>
    <cellStyle name="SAPBEXtitle 2 4 5 5" xfId="20681" xr:uid="{00000000-0005-0000-0000-00002A520000}"/>
    <cellStyle name="SAPBEXtitle 2 4 5 6" xfId="20682" xr:uid="{00000000-0005-0000-0000-00002B520000}"/>
    <cellStyle name="SAPBEXtitle 2 5" xfId="20683" xr:uid="{00000000-0005-0000-0000-00002C520000}"/>
    <cellStyle name="SAPBEXtitle 2 6" xfId="20684" xr:uid="{00000000-0005-0000-0000-00002D520000}"/>
    <cellStyle name="SAPBEXtitle 2 7" xfId="20685" xr:uid="{00000000-0005-0000-0000-00002E520000}"/>
    <cellStyle name="SAPBEXtitle 2 8" xfId="20686" xr:uid="{00000000-0005-0000-0000-00002F520000}"/>
    <cellStyle name="SAPBEXtitle 2 9" xfId="20687" xr:uid="{00000000-0005-0000-0000-000030520000}"/>
    <cellStyle name="SAPBEXtitle 20" xfId="20688" xr:uid="{00000000-0005-0000-0000-000031520000}"/>
    <cellStyle name="SAPBEXtitle 20 2" xfId="20689" xr:uid="{00000000-0005-0000-0000-000032520000}"/>
    <cellStyle name="SAPBEXtitle 20 3" xfId="20690" xr:uid="{00000000-0005-0000-0000-000033520000}"/>
    <cellStyle name="SAPBEXtitle 20 4" xfId="20691" xr:uid="{00000000-0005-0000-0000-000034520000}"/>
    <cellStyle name="SAPBEXtitle 20 5" xfId="20692" xr:uid="{00000000-0005-0000-0000-000035520000}"/>
    <cellStyle name="SAPBEXtitle 20 6" xfId="20693" xr:uid="{00000000-0005-0000-0000-000036520000}"/>
    <cellStyle name="SAPBEXtitle 21" xfId="20694" xr:uid="{00000000-0005-0000-0000-000037520000}"/>
    <cellStyle name="SAPBEXtitle 21 2" xfId="20695" xr:uid="{00000000-0005-0000-0000-000038520000}"/>
    <cellStyle name="SAPBEXtitle 21 3" xfId="20696" xr:uid="{00000000-0005-0000-0000-000039520000}"/>
    <cellStyle name="SAPBEXtitle 21 4" xfId="20697" xr:uid="{00000000-0005-0000-0000-00003A520000}"/>
    <cellStyle name="SAPBEXtitle 21 5" xfId="20698" xr:uid="{00000000-0005-0000-0000-00003B520000}"/>
    <cellStyle name="SAPBEXtitle 21 6" xfId="20699" xr:uid="{00000000-0005-0000-0000-00003C520000}"/>
    <cellStyle name="SAPBEXtitle 22" xfId="20700" xr:uid="{00000000-0005-0000-0000-00003D520000}"/>
    <cellStyle name="SAPBEXtitle 22 2" xfId="20701" xr:uid="{00000000-0005-0000-0000-00003E520000}"/>
    <cellStyle name="SAPBEXtitle 22 3" xfId="20702" xr:uid="{00000000-0005-0000-0000-00003F520000}"/>
    <cellStyle name="SAPBEXtitle 22 4" xfId="20703" xr:uid="{00000000-0005-0000-0000-000040520000}"/>
    <cellStyle name="SAPBEXtitle 22 5" xfId="20704" xr:uid="{00000000-0005-0000-0000-000041520000}"/>
    <cellStyle name="SAPBEXtitle 22 6" xfId="20705" xr:uid="{00000000-0005-0000-0000-000042520000}"/>
    <cellStyle name="SAPBEXtitle 23" xfId="20706" xr:uid="{00000000-0005-0000-0000-000043520000}"/>
    <cellStyle name="SAPBEXtitle 23 2" xfId="20707" xr:uid="{00000000-0005-0000-0000-000044520000}"/>
    <cellStyle name="SAPBEXtitle 23 3" xfId="20708" xr:uid="{00000000-0005-0000-0000-000045520000}"/>
    <cellStyle name="SAPBEXtitle 23 4" xfId="20709" xr:uid="{00000000-0005-0000-0000-000046520000}"/>
    <cellStyle name="SAPBEXtitle 23 5" xfId="20710" xr:uid="{00000000-0005-0000-0000-000047520000}"/>
    <cellStyle name="SAPBEXtitle 23 6" xfId="20711" xr:uid="{00000000-0005-0000-0000-000048520000}"/>
    <cellStyle name="SAPBEXtitle 24" xfId="20712" xr:uid="{00000000-0005-0000-0000-000049520000}"/>
    <cellStyle name="SAPBEXtitle 24 2" xfId="20713" xr:uid="{00000000-0005-0000-0000-00004A520000}"/>
    <cellStyle name="SAPBEXtitle 24 3" xfId="20714" xr:uid="{00000000-0005-0000-0000-00004B520000}"/>
    <cellStyle name="SAPBEXtitle 24 4" xfId="20715" xr:uid="{00000000-0005-0000-0000-00004C520000}"/>
    <cellStyle name="SAPBEXtitle 24 5" xfId="20716" xr:uid="{00000000-0005-0000-0000-00004D520000}"/>
    <cellStyle name="SAPBEXtitle 24 6" xfId="20717" xr:uid="{00000000-0005-0000-0000-00004E520000}"/>
    <cellStyle name="SAPBEXtitle 25" xfId="20718" xr:uid="{00000000-0005-0000-0000-00004F520000}"/>
    <cellStyle name="SAPBEXtitle 25 2" xfId="20719" xr:uid="{00000000-0005-0000-0000-000050520000}"/>
    <cellStyle name="SAPBEXtitle 25 3" xfId="20720" xr:uid="{00000000-0005-0000-0000-000051520000}"/>
    <cellStyle name="SAPBEXtitle 25 4" xfId="20721" xr:uid="{00000000-0005-0000-0000-000052520000}"/>
    <cellStyle name="SAPBEXtitle 25 5" xfId="20722" xr:uid="{00000000-0005-0000-0000-000053520000}"/>
    <cellStyle name="SAPBEXtitle 25 6" xfId="20723" xr:uid="{00000000-0005-0000-0000-000054520000}"/>
    <cellStyle name="SAPBEXtitle 26" xfId="20724" xr:uid="{00000000-0005-0000-0000-000055520000}"/>
    <cellStyle name="SAPBEXtitle 26 2" xfId="20725" xr:uid="{00000000-0005-0000-0000-000056520000}"/>
    <cellStyle name="SAPBEXtitle 26 3" xfId="20726" xr:uid="{00000000-0005-0000-0000-000057520000}"/>
    <cellStyle name="SAPBEXtitle 26 4" xfId="20727" xr:uid="{00000000-0005-0000-0000-000058520000}"/>
    <cellStyle name="SAPBEXtitle 26 5" xfId="20728" xr:uid="{00000000-0005-0000-0000-000059520000}"/>
    <cellStyle name="SAPBEXtitle 26 6" xfId="20729" xr:uid="{00000000-0005-0000-0000-00005A520000}"/>
    <cellStyle name="SAPBEXtitle 27" xfId="20730" xr:uid="{00000000-0005-0000-0000-00005B520000}"/>
    <cellStyle name="SAPBEXtitle 27 2" xfId="20731" xr:uid="{00000000-0005-0000-0000-00005C520000}"/>
    <cellStyle name="SAPBEXtitle 27 3" xfId="20732" xr:uid="{00000000-0005-0000-0000-00005D520000}"/>
    <cellStyle name="SAPBEXtitle 27 4" xfId="20733" xr:uid="{00000000-0005-0000-0000-00005E520000}"/>
    <cellStyle name="SAPBEXtitle 27 5" xfId="20734" xr:uid="{00000000-0005-0000-0000-00005F520000}"/>
    <cellStyle name="SAPBEXtitle 27 6" xfId="20735" xr:uid="{00000000-0005-0000-0000-000060520000}"/>
    <cellStyle name="SAPBEXtitle 28" xfId="20736" xr:uid="{00000000-0005-0000-0000-000061520000}"/>
    <cellStyle name="SAPBEXtitle 28 2" xfId="20737" xr:uid="{00000000-0005-0000-0000-000062520000}"/>
    <cellStyle name="SAPBEXtitle 28 3" xfId="20738" xr:uid="{00000000-0005-0000-0000-000063520000}"/>
    <cellStyle name="SAPBEXtitle 28 4" xfId="20739" xr:uid="{00000000-0005-0000-0000-000064520000}"/>
    <cellStyle name="SAPBEXtitle 28 5" xfId="20740" xr:uid="{00000000-0005-0000-0000-000065520000}"/>
    <cellStyle name="SAPBEXtitle 28 6" xfId="20741" xr:uid="{00000000-0005-0000-0000-000066520000}"/>
    <cellStyle name="SAPBEXtitle 29" xfId="20742" xr:uid="{00000000-0005-0000-0000-000067520000}"/>
    <cellStyle name="SAPBEXtitle 29 2" xfId="20743" xr:uid="{00000000-0005-0000-0000-000068520000}"/>
    <cellStyle name="SAPBEXtitle 29 3" xfId="20744" xr:uid="{00000000-0005-0000-0000-000069520000}"/>
    <cellStyle name="SAPBEXtitle 29 4" xfId="20745" xr:uid="{00000000-0005-0000-0000-00006A520000}"/>
    <cellStyle name="SAPBEXtitle 29 5" xfId="20746" xr:uid="{00000000-0005-0000-0000-00006B520000}"/>
    <cellStyle name="SAPBEXtitle 29 6" xfId="20747" xr:uid="{00000000-0005-0000-0000-00006C520000}"/>
    <cellStyle name="SAPBEXtitle 3" xfId="20748" xr:uid="{00000000-0005-0000-0000-00006D520000}"/>
    <cellStyle name="SAPBEXtitle 3 10" xfId="20749" xr:uid="{00000000-0005-0000-0000-00006E520000}"/>
    <cellStyle name="SAPBEXtitle 3 11" xfId="20750" xr:uid="{00000000-0005-0000-0000-00006F520000}"/>
    <cellStyle name="SAPBEXtitle 3 12" xfId="20751" xr:uid="{00000000-0005-0000-0000-000070520000}"/>
    <cellStyle name="SAPBEXtitle 3 2" xfId="20752" xr:uid="{00000000-0005-0000-0000-000071520000}"/>
    <cellStyle name="SAPBEXtitle 3 2 2" xfId="20753" xr:uid="{00000000-0005-0000-0000-000072520000}"/>
    <cellStyle name="SAPBEXtitle 3 2 2 2" xfId="20754" xr:uid="{00000000-0005-0000-0000-000073520000}"/>
    <cellStyle name="SAPBEXtitle 3 2 2 3" xfId="20755" xr:uid="{00000000-0005-0000-0000-000074520000}"/>
    <cellStyle name="SAPBEXtitle 3 2 2 4" xfId="20756" xr:uid="{00000000-0005-0000-0000-000075520000}"/>
    <cellStyle name="SAPBEXtitle 3 2 2 5" xfId="20757" xr:uid="{00000000-0005-0000-0000-000076520000}"/>
    <cellStyle name="SAPBEXtitle 3 2 2 6" xfId="20758" xr:uid="{00000000-0005-0000-0000-000077520000}"/>
    <cellStyle name="SAPBEXtitle 3 2 3" xfId="20759" xr:uid="{00000000-0005-0000-0000-000078520000}"/>
    <cellStyle name="SAPBEXtitle 3 2 3 2" xfId="20760" xr:uid="{00000000-0005-0000-0000-000079520000}"/>
    <cellStyle name="SAPBEXtitle 3 2 3 3" xfId="20761" xr:uid="{00000000-0005-0000-0000-00007A520000}"/>
    <cellStyle name="SAPBEXtitle 3 2 3 4" xfId="20762" xr:uid="{00000000-0005-0000-0000-00007B520000}"/>
    <cellStyle name="SAPBEXtitle 3 2 3 5" xfId="20763" xr:uid="{00000000-0005-0000-0000-00007C520000}"/>
    <cellStyle name="SAPBEXtitle 3 2 3 6" xfId="20764" xr:uid="{00000000-0005-0000-0000-00007D520000}"/>
    <cellStyle name="SAPBEXtitle 3 2 4" xfId="20765" xr:uid="{00000000-0005-0000-0000-00007E520000}"/>
    <cellStyle name="SAPBEXtitle 3 2 4 2" xfId="20766" xr:uid="{00000000-0005-0000-0000-00007F520000}"/>
    <cellStyle name="SAPBEXtitle 3 2 4 3" xfId="20767" xr:uid="{00000000-0005-0000-0000-000080520000}"/>
    <cellStyle name="SAPBEXtitle 3 2 4 4" xfId="20768" xr:uid="{00000000-0005-0000-0000-000081520000}"/>
    <cellStyle name="SAPBEXtitle 3 2 4 5" xfId="20769" xr:uid="{00000000-0005-0000-0000-000082520000}"/>
    <cellStyle name="SAPBEXtitle 3 2 4 6" xfId="20770" xr:uid="{00000000-0005-0000-0000-000083520000}"/>
    <cellStyle name="SAPBEXtitle 3 2 5" xfId="20771" xr:uid="{00000000-0005-0000-0000-000084520000}"/>
    <cellStyle name="SAPBEXtitle 3 2 5 2" xfId="20772" xr:uid="{00000000-0005-0000-0000-000085520000}"/>
    <cellStyle name="SAPBEXtitle 3 2 5 3" xfId="20773" xr:uid="{00000000-0005-0000-0000-000086520000}"/>
    <cellStyle name="SAPBEXtitle 3 2 5 4" xfId="20774" xr:uid="{00000000-0005-0000-0000-000087520000}"/>
    <cellStyle name="SAPBEXtitle 3 2 5 5" xfId="20775" xr:uid="{00000000-0005-0000-0000-000088520000}"/>
    <cellStyle name="SAPBEXtitle 3 2 5 6" xfId="20776" xr:uid="{00000000-0005-0000-0000-000089520000}"/>
    <cellStyle name="SAPBEXtitle 3 3" xfId="20777" xr:uid="{00000000-0005-0000-0000-00008A520000}"/>
    <cellStyle name="SAPBEXtitle 3 3 2" xfId="20778" xr:uid="{00000000-0005-0000-0000-00008B520000}"/>
    <cellStyle name="SAPBEXtitle 3 3 3" xfId="20779" xr:uid="{00000000-0005-0000-0000-00008C520000}"/>
    <cellStyle name="SAPBEXtitle 3 3 4" xfId="20780" xr:uid="{00000000-0005-0000-0000-00008D520000}"/>
    <cellStyle name="SAPBEXtitle 3 3 5" xfId="20781" xr:uid="{00000000-0005-0000-0000-00008E520000}"/>
    <cellStyle name="SAPBEXtitle 3 3 6" xfId="20782" xr:uid="{00000000-0005-0000-0000-00008F520000}"/>
    <cellStyle name="SAPBEXtitle 3 4" xfId="20783" xr:uid="{00000000-0005-0000-0000-000090520000}"/>
    <cellStyle name="SAPBEXtitle 3 4 2" xfId="20784" xr:uid="{00000000-0005-0000-0000-000091520000}"/>
    <cellStyle name="SAPBEXtitle 3 4 3" xfId="20785" xr:uid="{00000000-0005-0000-0000-000092520000}"/>
    <cellStyle name="SAPBEXtitle 3 4 4" xfId="20786" xr:uid="{00000000-0005-0000-0000-000093520000}"/>
    <cellStyle name="SAPBEXtitle 3 4 5" xfId="20787" xr:uid="{00000000-0005-0000-0000-000094520000}"/>
    <cellStyle name="SAPBEXtitle 3 4 6" xfId="20788" xr:uid="{00000000-0005-0000-0000-000095520000}"/>
    <cellStyle name="SAPBEXtitle 3 5" xfId="20789" xr:uid="{00000000-0005-0000-0000-000096520000}"/>
    <cellStyle name="SAPBEXtitle 3 6" xfId="20790" xr:uid="{00000000-0005-0000-0000-000097520000}"/>
    <cellStyle name="SAPBEXtitle 3 7" xfId="20791" xr:uid="{00000000-0005-0000-0000-000098520000}"/>
    <cellStyle name="SAPBEXtitle 3 8" xfId="20792" xr:uid="{00000000-0005-0000-0000-000099520000}"/>
    <cellStyle name="SAPBEXtitle 3 9" xfId="20793" xr:uid="{00000000-0005-0000-0000-00009A520000}"/>
    <cellStyle name="SAPBEXtitle 30" xfId="20794" xr:uid="{00000000-0005-0000-0000-00009B520000}"/>
    <cellStyle name="SAPBEXtitle 30 2" xfId="20795" xr:uid="{00000000-0005-0000-0000-00009C520000}"/>
    <cellStyle name="SAPBEXtitle 30 3" xfId="20796" xr:uid="{00000000-0005-0000-0000-00009D520000}"/>
    <cellStyle name="SAPBEXtitle 30 4" xfId="20797" xr:uid="{00000000-0005-0000-0000-00009E520000}"/>
    <cellStyle name="SAPBEXtitle 30 5" xfId="20798" xr:uid="{00000000-0005-0000-0000-00009F520000}"/>
    <cellStyle name="SAPBEXtitle 30 6" xfId="20799" xr:uid="{00000000-0005-0000-0000-0000A0520000}"/>
    <cellStyle name="SAPBEXtitle 31" xfId="20800" xr:uid="{00000000-0005-0000-0000-0000A1520000}"/>
    <cellStyle name="SAPBEXtitle 31 2" xfId="20801" xr:uid="{00000000-0005-0000-0000-0000A2520000}"/>
    <cellStyle name="SAPBEXtitle 31 3" xfId="20802" xr:uid="{00000000-0005-0000-0000-0000A3520000}"/>
    <cellStyle name="SAPBEXtitle 31 4" xfId="20803" xr:uid="{00000000-0005-0000-0000-0000A4520000}"/>
    <cellStyle name="SAPBEXtitle 31 5" xfId="20804" xr:uid="{00000000-0005-0000-0000-0000A5520000}"/>
    <cellStyle name="SAPBEXtitle 31 6" xfId="20805" xr:uid="{00000000-0005-0000-0000-0000A6520000}"/>
    <cellStyle name="SAPBEXtitle 32" xfId="20806" xr:uid="{00000000-0005-0000-0000-0000A7520000}"/>
    <cellStyle name="SAPBEXtitle 32 2" xfId="20807" xr:uid="{00000000-0005-0000-0000-0000A8520000}"/>
    <cellStyle name="SAPBEXtitle 32 3" xfId="20808" xr:uid="{00000000-0005-0000-0000-0000A9520000}"/>
    <cellStyle name="SAPBEXtitle 32 4" xfId="20809" xr:uid="{00000000-0005-0000-0000-0000AA520000}"/>
    <cellStyle name="SAPBEXtitle 32 5" xfId="20810" xr:uid="{00000000-0005-0000-0000-0000AB520000}"/>
    <cellStyle name="SAPBEXtitle 32 6" xfId="20811" xr:uid="{00000000-0005-0000-0000-0000AC520000}"/>
    <cellStyle name="SAPBEXtitle 33" xfId="20812" xr:uid="{00000000-0005-0000-0000-0000AD520000}"/>
    <cellStyle name="SAPBEXtitle 34" xfId="20813" xr:uid="{00000000-0005-0000-0000-0000AE520000}"/>
    <cellStyle name="SAPBEXtitle 35" xfId="20814" xr:uid="{00000000-0005-0000-0000-0000AF520000}"/>
    <cellStyle name="SAPBEXtitle 36" xfId="20815" xr:uid="{00000000-0005-0000-0000-0000B0520000}"/>
    <cellStyle name="SAPBEXtitle 37" xfId="20816" xr:uid="{00000000-0005-0000-0000-0000B1520000}"/>
    <cellStyle name="SAPBEXtitle 38" xfId="20817" xr:uid="{00000000-0005-0000-0000-0000B2520000}"/>
    <cellStyle name="SAPBEXtitle 39" xfId="20818" xr:uid="{00000000-0005-0000-0000-0000B3520000}"/>
    <cellStyle name="SAPBEXtitle 4" xfId="20819" xr:uid="{00000000-0005-0000-0000-0000B4520000}"/>
    <cellStyle name="SAPBEXtitle 4 2" xfId="20820" xr:uid="{00000000-0005-0000-0000-0000B5520000}"/>
    <cellStyle name="SAPBEXtitle 4 3" xfId="20821" xr:uid="{00000000-0005-0000-0000-0000B6520000}"/>
    <cellStyle name="SAPBEXtitle 4 4" xfId="20822" xr:uid="{00000000-0005-0000-0000-0000B7520000}"/>
    <cellStyle name="SAPBEXtitle 4 5" xfId="20823" xr:uid="{00000000-0005-0000-0000-0000B8520000}"/>
    <cellStyle name="SAPBEXtitle 4 6" xfId="20824" xr:uid="{00000000-0005-0000-0000-0000B9520000}"/>
    <cellStyle name="SAPBEXtitle 40" xfId="20825" xr:uid="{00000000-0005-0000-0000-0000BA520000}"/>
    <cellStyle name="SAPBEXtitle 41" xfId="20826" xr:uid="{00000000-0005-0000-0000-0000BB520000}"/>
    <cellStyle name="SAPBEXtitle 42" xfId="20827" xr:uid="{00000000-0005-0000-0000-0000BC520000}"/>
    <cellStyle name="SAPBEXtitle 43" xfId="20828" xr:uid="{00000000-0005-0000-0000-0000BD520000}"/>
    <cellStyle name="SAPBEXtitle 44" xfId="20829" xr:uid="{00000000-0005-0000-0000-0000BE520000}"/>
    <cellStyle name="SAPBEXtitle 45" xfId="20830" xr:uid="{00000000-0005-0000-0000-0000BF520000}"/>
    <cellStyle name="SAPBEXtitle 46" xfId="20831" xr:uid="{00000000-0005-0000-0000-0000C0520000}"/>
    <cellStyle name="SAPBEXtitle 47" xfId="20832" xr:uid="{00000000-0005-0000-0000-0000C1520000}"/>
    <cellStyle name="SAPBEXtitle 48" xfId="20833" xr:uid="{00000000-0005-0000-0000-0000C2520000}"/>
    <cellStyle name="SAPBEXtitle 49" xfId="20834" xr:uid="{00000000-0005-0000-0000-0000C3520000}"/>
    <cellStyle name="SAPBEXtitle 5" xfId="20835" xr:uid="{00000000-0005-0000-0000-0000C4520000}"/>
    <cellStyle name="SAPBEXtitle 5 2" xfId="20836" xr:uid="{00000000-0005-0000-0000-0000C5520000}"/>
    <cellStyle name="SAPBEXtitle 5 3" xfId="20837" xr:uid="{00000000-0005-0000-0000-0000C6520000}"/>
    <cellStyle name="SAPBEXtitle 5 4" xfId="20838" xr:uid="{00000000-0005-0000-0000-0000C7520000}"/>
    <cellStyle name="SAPBEXtitle 5 5" xfId="20839" xr:uid="{00000000-0005-0000-0000-0000C8520000}"/>
    <cellStyle name="SAPBEXtitle 5 6" xfId="20840" xr:uid="{00000000-0005-0000-0000-0000C9520000}"/>
    <cellStyle name="SAPBEXtitle 50" xfId="20841" xr:uid="{00000000-0005-0000-0000-0000CA520000}"/>
    <cellStyle name="SAPBEXtitle 51" xfId="20842" xr:uid="{00000000-0005-0000-0000-0000CB520000}"/>
    <cellStyle name="SAPBEXtitle 52" xfId="20843" xr:uid="{00000000-0005-0000-0000-0000CC520000}"/>
    <cellStyle name="SAPBEXtitle 53" xfId="20844" xr:uid="{00000000-0005-0000-0000-0000CD520000}"/>
    <cellStyle name="SAPBEXtitle 54" xfId="20845" xr:uid="{00000000-0005-0000-0000-0000CE520000}"/>
    <cellStyle name="SAPBEXtitle 55" xfId="20846" xr:uid="{00000000-0005-0000-0000-0000CF520000}"/>
    <cellStyle name="SAPBEXtitle 56" xfId="20847" xr:uid="{00000000-0005-0000-0000-0000D0520000}"/>
    <cellStyle name="SAPBEXtitle 57" xfId="20848" xr:uid="{00000000-0005-0000-0000-0000D1520000}"/>
    <cellStyle name="SAPBEXtitle 58" xfId="20849" xr:uid="{00000000-0005-0000-0000-0000D2520000}"/>
    <cellStyle name="SAPBEXtitle 59" xfId="20850" xr:uid="{00000000-0005-0000-0000-0000D3520000}"/>
    <cellStyle name="SAPBEXtitle 6" xfId="20851" xr:uid="{00000000-0005-0000-0000-0000D4520000}"/>
    <cellStyle name="SAPBEXtitle 6 10" xfId="20852" xr:uid="{00000000-0005-0000-0000-0000D5520000}"/>
    <cellStyle name="SAPBEXtitle 6 2" xfId="20853" xr:uid="{00000000-0005-0000-0000-0000D6520000}"/>
    <cellStyle name="SAPBEXtitle 6 3" xfId="20854" xr:uid="{00000000-0005-0000-0000-0000D7520000}"/>
    <cellStyle name="SAPBEXtitle 6 4" xfId="20855" xr:uid="{00000000-0005-0000-0000-0000D8520000}"/>
    <cellStyle name="SAPBEXtitle 6 5" xfId="20856" xr:uid="{00000000-0005-0000-0000-0000D9520000}"/>
    <cellStyle name="SAPBEXtitle 6 6" xfId="20857" xr:uid="{00000000-0005-0000-0000-0000DA520000}"/>
    <cellStyle name="SAPBEXtitle 6 7" xfId="20858" xr:uid="{00000000-0005-0000-0000-0000DB520000}"/>
    <cellStyle name="SAPBEXtitle 6 8" xfId="20859" xr:uid="{00000000-0005-0000-0000-0000DC520000}"/>
    <cellStyle name="SAPBEXtitle 6 9" xfId="20860" xr:uid="{00000000-0005-0000-0000-0000DD520000}"/>
    <cellStyle name="SAPBEXtitle 60" xfId="20861" xr:uid="{00000000-0005-0000-0000-0000DE520000}"/>
    <cellStyle name="SAPBEXtitle 61" xfId="20862" xr:uid="{00000000-0005-0000-0000-0000DF520000}"/>
    <cellStyle name="SAPBEXtitle 62" xfId="20863" xr:uid="{00000000-0005-0000-0000-0000E0520000}"/>
    <cellStyle name="SAPBEXtitle 63" xfId="20864" xr:uid="{00000000-0005-0000-0000-0000E1520000}"/>
    <cellStyle name="SAPBEXtitle 64" xfId="20865" xr:uid="{00000000-0005-0000-0000-0000E2520000}"/>
    <cellStyle name="SAPBEXtitle 65" xfId="20866" xr:uid="{00000000-0005-0000-0000-0000E3520000}"/>
    <cellStyle name="SAPBEXtitle 66" xfId="20867" xr:uid="{00000000-0005-0000-0000-0000E4520000}"/>
    <cellStyle name="SAPBEXtitle 67" xfId="20868" xr:uid="{00000000-0005-0000-0000-0000E5520000}"/>
    <cellStyle name="SAPBEXtitle 68" xfId="20869" xr:uid="{00000000-0005-0000-0000-0000E6520000}"/>
    <cellStyle name="SAPBEXtitle 69" xfId="20870" xr:uid="{00000000-0005-0000-0000-0000E7520000}"/>
    <cellStyle name="SAPBEXtitle 7" xfId="20871" xr:uid="{00000000-0005-0000-0000-0000E8520000}"/>
    <cellStyle name="SAPBEXtitle 7 10" xfId="20872" xr:uid="{00000000-0005-0000-0000-0000E9520000}"/>
    <cellStyle name="SAPBEXtitle 7 2" xfId="20873" xr:uid="{00000000-0005-0000-0000-0000EA520000}"/>
    <cellStyle name="SAPBEXtitle 7 3" xfId="20874" xr:uid="{00000000-0005-0000-0000-0000EB520000}"/>
    <cellStyle name="SAPBEXtitle 7 4" xfId="20875" xr:uid="{00000000-0005-0000-0000-0000EC520000}"/>
    <cellStyle name="SAPBEXtitle 7 5" xfId="20876" xr:uid="{00000000-0005-0000-0000-0000ED520000}"/>
    <cellStyle name="SAPBEXtitle 7 6" xfId="20877" xr:uid="{00000000-0005-0000-0000-0000EE520000}"/>
    <cellStyle name="SAPBEXtitle 7 7" xfId="20878" xr:uid="{00000000-0005-0000-0000-0000EF520000}"/>
    <cellStyle name="SAPBEXtitle 7 8" xfId="20879" xr:uid="{00000000-0005-0000-0000-0000F0520000}"/>
    <cellStyle name="SAPBEXtitle 7 9" xfId="20880" xr:uid="{00000000-0005-0000-0000-0000F1520000}"/>
    <cellStyle name="SAPBEXtitle 70" xfId="20881" xr:uid="{00000000-0005-0000-0000-0000F2520000}"/>
    <cellStyle name="SAPBEXtitle 71" xfId="20882" xr:uid="{00000000-0005-0000-0000-0000F3520000}"/>
    <cellStyle name="SAPBEXtitle 72" xfId="20883" xr:uid="{00000000-0005-0000-0000-0000F4520000}"/>
    <cellStyle name="SAPBEXtitle 73" xfId="20884" xr:uid="{00000000-0005-0000-0000-0000F5520000}"/>
    <cellStyle name="SAPBEXtitle 74" xfId="20885" xr:uid="{00000000-0005-0000-0000-0000F6520000}"/>
    <cellStyle name="SAPBEXtitle 75" xfId="20886" xr:uid="{00000000-0005-0000-0000-0000F7520000}"/>
    <cellStyle name="SAPBEXtitle 76" xfId="20887" xr:uid="{00000000-0005-0000-0000-0000F8520000}"/>
    <cellStyle name="SAPBEXtitle 77" xfId="20888" xr:uid="{00000000-0005-0000-0000-0000F9520000}"/>
    <cellStyle name="SAPBEXtitle 78" xfId="20889" xr:uid="{00000000-0005-0000-0000-0000FA520000}"/>
    <cellStyle name="SAPBEXtitle 79" xfId="20890" xr:uid="{00000000-0005-0000-0000-0000FB520000}"/>
    <cellStyle name="SAPBEXtitle 8" xfId="20891" xr:uid="{00000000-0005-0000-0000-0000FC520000}"/>
    <cellStyle name="SAPBEXtitle 8 2" xfId="20892" xr:uid="{00000000-0005-0000-0000-0000FD520000}"/>
    <cellStyle name="SAPBEXtitle 8 3" xfId="20893" xr:uid="{00000000-0005-0000-0000-0000FE520000}"/>
    <cellStyle name="SAPBEXtitle 8 4" xfId="20894" xr:uid="{00000000-0005-0000-0000-0000FF520000}"/>
    <cellStyle name="SAPBEXtitle 8 5" xfId="20895" xr:uid="{00000000-0005-0000-0000-000000530000}"/>
    <cellStyle name="SAPBEXtitle 8 6" xfId="20896" xr:uid="{00000000-0005-0000-0000-000001530000}"/>
    <cellStyle name="SAPBEXtitle 80" xfId="20897" xr:uid="{00000000-0005-0000-0000-000002530000}"/>
    <cellStyle name="SAPBEXtitle 81" xfId="20898" xr:uid="{00000000-0005-0000-0000-000003530000}"/>
    <cellStyle name="SAPBEXtitle 82" xfId="20899" xr:uid="{00000000-0005-0000-0000-000004530000}"/>
    <cellStyle name="SAPBEXtitle 83" xfId="20900" xr:uid="{00000000-0005-0000-0000-000005530000}"/>
    <cellStyle name="SAPBEXtitle 84" xfId="20901" xr:uid="{00000000-0005-0000-0000-000006530000}"/>
    <cellStyle name="SAPBEXtitle 85" xfId="20902" xr:uid="{00000000-0005-0000-0000-000007530000}"/>
    <cellStyle name="SAPBEXtitle 86" xfId="20903" xr:uid="{00000000-0005-0000-0000-000008530000}"/>
    <cellStyle name="SAPBEXtitle 87" xfId="20904" xr:uid="{00000000-0005-0000-0000-000009530000}"/>
    <cellStyle name="SAPBEXtitle 88" xfId="20905" xr:uid="{00000000-0005-0000-0000-00000A530000}"/>
    <cellStyle name="SAPBEXtitle 89" xfId="20906" xr:uid="{00000000-0005-0000-0000-00000B530000}"/>
    <cellStyle name="SAPBEXtitle 9" xfId="20907" xr:uid="{00000000-0005-0000-0000-00000C530000}"/>
    <cellStyle name="SAPBEXtitle 9 2" xfId="20908" xr:uid="{00000000-0005-0000-0000-00000D530000}"/>
    <cellStyle name="SAPBEXtitle 9 3" xfId="20909" xr:uid="{00000000-0005-0000-0000-00000E530000}"/>
    <cellStyle name="SAPBEXtitle 9 4" xfId="20910" xr:uid="{00000000-0005-0000-0000-00000F530000}"/>
    <cellStyle name="SAPBEXtitle 9 5" xfId="20911" xr:uid="{00000000-0005-0000-0000-000010530000}"/>
    <cellStyle name="SAPBEXtitle 9 6" xfId="20912" xr:uid="{00000000-0005-0000-0000-000011530000}"/>
    <cellStyle name="SAPBEXtitle 90" xfId="20913" xr:uid="{00000000-0005-0000-0000-000012530000}"/>
    <cellStyle name="SAPBEXtitle 91" xfId="20914" xr:uid="{00000000-0005-0000-0000-000013530000}"/>
    <cellStyle name="SAPBEXtitle 92" xfId="20915" xr:uid="{00000000-0005-0000-0000-000014530000}"/>
    <cellStyle name="SAPBEXtitle 93" xfId="20916" xr:uid="{00000000-0005-0000-0000-000015530000}"/>
    <cellStyle name="SAPBEXtitle 94" xfId="20917" xr:uid="{00000000-0005-0000-0000-000016530000}"/>
    <cellStyle name="SAPBEXtitle 95" xfId="20918" xr:uid="{00000000-0005-0000-0000-000017530000}"/>
    <cellStyle name="SAPBEXtitle 96" xfId="20919" xr:uid="{00000000-0005-0000-0000-000018530000}"/>
    <cellStyle name="SAPBEXtitle 97" xfId="20920" xr:uid="{00000000-0005-0000-0000-000019530000}"/>
    <cellStyle name="SAPBEXtitle 98" xfId="20921" xr:uid="{00000000-0005-0000-0000-00001A530000}"/>
    <cellStyle name="SAPBEXtitle 99" xfId="20922" xr:uid="{00000000-0005-0000-0000-00001B530000}"/>
    <cellStyle name="SAPBEXtitle_Cash flow (2009)ver 3 рабочая" xfId="20923" xr:uid="{00000000-0005-0000-0000-00001C530000}"/>
    <cellStyle name="SAPBEXunassignedItem" xfId="20924" xr:uid="{00000000-0005-0000-0000-00001D530000}"/>
    <cellStyle name="SAPBEXunassignedItem 2" xfId="20925" xr:uid="{00000000-0005-0000-0000-00001E530000}"/>
    <cellStyle name="SAPBEXunassignedItem 2 2" xfId="20926" xr:uid="{00000000-0005-0000-0000-00001F530000}"/>
    <cellStyle name="SAPBEXunassignedItem 2 3" xfId="20927" xr:uid="{00000000-0005-0000-0000-000020530000}"/>
    <cellStyle name="SAPBEXunassignedItem 2 4" xfId="20928" xr:uid="{00000000-0005-0000-0000-000021530000}"/>
    <cellStyle name="SAPBEXunassignedItem 2 5" xfId="20929" xr:uid="{00000000-0005-0000-0000-000022530000}"/>
    <cellStyle name="SAPBEXunassignedItem 3" xfId="20930" xr:uid="{00000000-0005-0000-0000-000023530000}"/>
    <cellStyle name="SAPBEXunassignedItem 4" xfId="27940" xr:uid="{00000000-0005-0000-0000-000024530000}"/>
    <cellStyle name="SAPBEXundefined" xfId="20931" xr:uid="{00000000-0005-0000-0000-000025530000}"/>
    <cellStyle name="SAPBEXundefined 10" xfId="20932" xr:uid="{00000000-0005-0000-0000-000026530000}"/>
    <cellStyle name="SAPBEXundefined 10 2" xfId="20933" xr:uid="{00000000-0005-0000-0000-000027530000}"/>
    <cellStyle name="SAPBEXundefined 10 3" xfId="20934" xr:uid="{00000000-0005-0000-0000-000028530000}"/>
    <cellStyle name="SAPBEXundefined 10 4" xfId="20935" xr:uid="{00000000-0005-0000-0000-000029530000}"/>
    <cellStyle name="SAPBEXundefined 10 5" xfId="20936" xr:uid="{00000000-0005-0000-0000-00002A530000}"/>
    <cellStyle name="SAPBEXundefined 10 6" xfId="20937" xr:uid="{00000000-0005-0000-0000-00002B530000}"/>
    <cellStyle name="SAPBEXundefined 100" xfId="20938" xr:uid="{00000000-0005-0000-0000-00002C530000}"/>
    <cellStyle name="SAPBEXundefined 101" xfId="20939" xr:uid="{00000000-0005-0000-0000-00002D530000}"/>
    <cellStyle name="SAPBEXundefined 102" xfId="20940" xr:uid="{00000000-0005-0000-0000-00002E530000}"/>
    <cellStyle name="SAPBEXundefined 103" xfId="20941" xr:uid="{00000000-0005-0000-0000-00002F530000}"/>
    <cellStyle name="SAPBEXundefined 104" xfId="20942" xr:uid="{00000000-0005-0000-0000-000030530000}"/>
    <cellStyle name="SAPBEXundefined 105" xfId="20943" xr:uid="{00000000-0005-0000-0000-000031530000}"/>
    <cellStyle name="SAPBEXundefined 106" xfId="20944" xr:uid="{00000000-0005-0000-0000-000032530000}"/>
    <cellStyle name="SAPBEXundefined 107" xfId="20945" xr:uid="{00000000-0005-0000-0000-000033530000}"/>
    <cellStyle name="SAPBEXundefined 108" xfId="20946" xr:uid="{00000000-0005-0000-0000-000034530000}"/>
    <cellStyle name="SAPBEXundefined 109" xfId="20947" xr:uid="{00000000-0005-0000-0000-000035530000}"/>
    <cellStyle name="SAPBEXundefined 11" xfId="20948" xr:uid="{00000000-0005-0000-0000-000036530000}"/>
    <cellStyle name="SAPBEXundefined 11 2" xfId="20949" xr:uid="{00000000-0005-0000-0000-000037530000}"/>
    <cellStyle name="SAPBEXundefined 11 3" xfId="20950" xr:uid="{00000000-0005-0000-0000-000038530000}"/>
    <cellStyle name="SAPBEXundefined 11 4" xfId="20951" xr:uid="{00000000-0005-0000-0000-000039530000}"/>
    <cellStyle name="SAPBEXundefined 11 5" xfId="20952" xr:uid="{00000000-0005-0000-0000-00003A530000}"/>
    <cellStyle name="SAPBEXundefined 11 6" xfId="20953" xr:uid="{00000000-0005-0000-0000-00003B530000}"/>
    <cellStyle name="SAPBEXundefined 110" xfId="20954" xr:uid="{00000000-0005-0000-0000-00003C530000}"/>
    <cellStyle name="SAPBEXundefined 111" xfId="20955" xr:uid="{00000000-0005-0000-0000-00003D530000}"/>
    <cellStyle name="SAPBEXundefined 112" xfId="20956" xr:uid="{00000000-0005-0000-0000-00003E530000}"/>
    <cellStyle name="SAPBEXundefined 113" xfId="20957" xr:uid="{00000000-0005-0000-0000-00003F530000}"/>
    <cellStyle name="SAPBEXundefined 114" xfId="20958" xr:uid="{00000000-0005-0000-0000-000040530000}"/>
    <cellStyle name="SAPBEXundefined 115" xfId="20959" xr:uid="{00000000-0005-0000-0000-000041530000}"/>
    <cellStyle name="SAPBEXundefined 116" xfId="20960" xr:uid="{00000000-0005-0000-0000-000042530000}"/>
    <cellStyle name="SAPBEXundefined 117" xfId="20961" xr:uid="{00000000-0005-0000-0000-000043530000}"/>
    <cellStyle name="SAPBEXundefined 118" xfId="20962" xr:uid="{00000000-0005-0000-0000-000044530000}"/>
    <cellStyle name="SAPBEXundefined 119" xfId="20963" xr:uid="{00000000-0005-0000-0000-000045530000}"/>
    <cellStyle name="SAPBEXundefined 12" xfId="20964" xr:uid="{00000000-0005-0000-0000-000046530000}"/>
    <cellStyle name="SAPBEXundefined 12 2" xfId="20965" xr:uid="{00000000-0005-0000-0000-000047530000}"/>
    <cellStyle name="SAPBEXundefined 12 3" xfId="20966" xr:uid="{00000000-0005-0000-0000-000048530000}"/>
    <cellStyle name="SAPBEXundefined 12 4" xfId="20967" xr:uid="{00000000-0005-0000-0000-000049530000}"/>
    <cellStyle name="SAPBEXundefined 12 5" xfId="20968" xr:uid="{00000000-0005-0000-0000-00004A530000}"/>
    <cellStyle name="SAPBEXundefined 12 6" xfId="20969" xr:uid="{00000000-0005-0000-0000-00004B530000}"/>
    <cellStyle name="SAPBEXundefined 120" xfId="20970" xr:uid="{00000000-0005-0000-0000-00004C530000}"/>
    <cellStyle name="SAPBEXundefined 121" xfId="20971" xr:uid="{00000000-0005-0000-0000-00004D530000}"/>
    <cellStyle name="SAPBEXundefined 122" xfId="20972" xr:uid="{00000000-0005-0000-0000-00004E530000}"/>
    <cellStyle name="SAPBEXundefined 123" xfId="20973" xr:uid="{00000000-0005-0000-0000-00004F530000}"/>
    <cellStyle name="SAPBEXundefined 124" xfId="20974" xr:uid="{00000000-0005-0000-0000-000050530000}"/>
    <cellStyle name="SAPBEXundefined 125" xfId="20975" xr:uid="{00000000-0005-0000-0000-000051530000}"/>
    <cellStyle name="SAPBEXundefined 126" xfId="20976" xr:uid="{00000000-0005-0000-0000-000052530000}"/>
    <cellStyle name="SAPBEXundefined 127" xfId="20977" xr:uid="{00000000-0005-0000-0000-000053530000}"/>
    <cellStyle name="SAPBEXundefined 128" xfId="20978" xr:uid="{00000000-0005-0000-0000-000054530000}"/>
    <cellStyle name="SAPBEXundefined 129" xfId="20979" xr:uid="{00000000-0005-0000-0000-000055530000}"/>
    <cellStyle name="SAPBEXundefined 13" xfId="20980" xr:uid="{00000000-0005-0000-0000-000056530000}"/>
    <cellStyle name="SAPBEXundefined 13 2" xfId="20981" xr:uid="{00000000-0005-0000-0000-000057530000}"/>
    <cellStyle name="SAPBEXundefined 13 3" xfId="20982" xr:uid="{00000000-0005-0000-0000-000058530000}"/>
    <cellStyle name="SAPBEXundefined 13 4" xfId="20983" xr:uid="{00000000-0005-0000-0000-000059530000}"/>
    <cellStyle name="SAPBEXundefined 13 5" xfId="20984" xr:uid="{00000000-0005-0000-0000-00005A530000}"/>
    <cellStyle name="SAPBEXundefined 13 6" xfId="20985" xr:uid="{00000000-0005-0000-0000-00005B530000}"/>
    <cellStyle name="SAPBEXundefined 130" xfId="20986" xr:uid="{00000000-0005-0000-0000-00005C530000}"/>
    <cellStyle name="SAPBEXundefined 131" xfId="20987" xr:uid="{00000000-0005-0000-0000-00005D530000}"/>
    <cellStyle name="SAPBEXundefined 132" xfId="20988" xr:uid="{00000000-0005-0000-0000-00005E530000}"/>
    <cellStyle name="SAPBEXundefined 133" xfId="20989" xr:uid="{00000000-0005-0000-0000-00005F530000}"/>
    <cellStyle name="SAPBEXundefined 134" xfId="20990" xr:uid="{00000000-0005-0000-0000-000060530000}"/>
    <cellStyle name="SAPBEXundefined 135" xfId="20991" xr:uid="{00000000-0005-0000-0000-000061530000}"/>
    <cellStyle name="SAPBEXundefined 136" xfId="20992" xr:uid="{00000000-0005-0000-0000-000062530000}"/>
    <cellStyle name="SAPBEXundefined 137" xfId="20993" xr:uid="{00000000-0005-0000-0000-000063530000}"/>
    <cellStyle name="SAPBEXundefined 138" xfId="20994" xr:uid="{00000000-0005-0000-0000-000064530000}"/>
    <cellStyle name="SAPBEXundefined 139" xfId="20995" xr:uid="{00000000-0005-0000-0000-000065530000}"/>
    <cellStyle name="SAPBEXundefined 14" xfId="20996" xr:uid="{00000000-0005-0000-0000-000066530000}"/>
    <cellStyle name="SAPBEXundefined 14 2" xfId="20997" xr:uid="{00000000-0005-0000-0000-000067530000}"/>
    <cellStyle name="SAPBEXundefined 14 3" xfId="20998" xr:uid="{00000000-0005-0000-0000-000068530000}"/>
    <cellStyle name="SAPBEXundefined 14 4" xfId="20999" xr:uid="{00000000-0005-0000-0000-000069530000}"/>
    <cellStyle name="SAPBEXundefined 14 5" xfId="21000" xr:uid="{00000000-0005-0000-0000-00006A530000}"/>
    <cellStyle name="SAPBEXundefined 14 6" xfId="21001" xr:uid="{00000000-0005-0000-0000-00006B530000}"/>
    <cellStyle name="SAPBEXundefined 140" xfId="21002" xr:uid="{00000000-0005-0000-0000-00006C530000}"/>
    <cellStyle name="SAPBEXundefined 141" xfId="21003" xr:uid="{00000000-0005-0000-0000-00006D530000}"/>
    <cellStyle name="SAPBEXundefined 142" xfId="21004" xr:uid="{00000000-0005-0000-0000-00006E530000}"/>
    <cellStyle name="SAPBEXundefined 143" xfId="21005" xr:uid="{00000000-0005-0000-0000-00006F530000}"/>
    <cellStyle name="SAPBEXundefined 144" xfId="21006" xr:uid="{00000000-0005-0000-0000-000070530000}"/>
    <cellStyle name="SAPBEXundefined 145" xfId="21007" xr:uid="{00000000-0005-0000-0000-000071530000}"/>
    <cellStyle name="SAPBEXundefined 146" xfId="21008" xr:uid="{00000000-0005-0000-0000-000072530000}"/>
    <cellStyle name="SAPBEXundefined 147" xfId="21009" xr:uid="{00000000-0005-0000-0000-000073530000}"/>
    <cellStyle name="SAPBEXundefined 148" xfId="21010" xr:uid="{00000000-0005-0000-0000-000074530000}"/>
    <cellStyle name="SAPBEXundefined 149" xfId="21011" xr:uid="{00000000-0005-0000-0000-000075530000}"/>
    <cellStyle name="SAPBEXundefined 15" xfId="21012" xr:uid="{00000000-0005-0000-0000-000076530000}"/>
    <cellStyle name="SAPBEXundefined 15 2" xfId="21013" xr:uid="{00000000-0005-0000-0000-000077530000}"/>
    <cellStyle name="SAPBEXundefined 15 3" xfId="21014" xr:uid="{00000000-0005-0000-0000-000078530000}"/>
    <cellStyle name="SAPBEXundefined 15 4" xfId="21015" xr:uid="{00000000-0005-0000-0000-000079530000}"/>
    <cellStyle name="SAPBEXundefined 15 5" xfId="21016" xr:uid="{00000000-0005-0000-0000-00007A530000}"/>
    <cellStyle name="SAPBEXundefined 15 6" xfId="21017" xr:uid="{00000000-0005-0000-0000-00007B530000}"/>
    <cellStyle name="SAPBEXundefined 150" xfId="21018" xr:uid="{00000000-0005-0000-0000-00007C530000}"/>
    <cellStyle name="SAPBEXundefined 151" xfId="21019" xr:uid="{00000000-0005-0000-0000-00007D530000}"/>
    <cellStyle name="SAPBEXundefined 152" xfId="21020" xr:uid="{00000000-0005-0000-0000-00007E530000}"/>
    <cellStyle name="SAPBEXundefined 153" xfId="21021" xr:uid="{00000000-0005-0000-0000-00007F530000}"/>
    <cellStyle name="SAPBEXundefined 154" xfId="21022" xr:uid="{00000000-0005-0000-0000-000080530000}"/>
    <cellStyle name="SAPBEXundefined 155" xfId="21023" xr:uid="{00000000-0005-0000-0000-000081530000}"/>
    <cellStyle name="SAPBEXundefined 156" xfId="21024" xr:uid="{00000000-0005-0000-0000-000082530000}"/>
    <cellStyle name="SAPBEXundefined 157" xfId="21025" xr:uid="{00000000-0005-0000-0000-000083530000}"/>
    <cellStyle name="SAPBEXundefined 158" xfId="21026" xr:uid="{00000000-0005-0000-0000-000084530000}"/>
    <cellStyle name="SAPBEXundefined 159" xfId="21027" xr:uid="{00000000-0005-0000-0000-000085530000}"/>
    <cellStyle name="SAPBEXundefined 16" xfId="21028" xr:uid="{00000000-0005-0000-0000-000086530000}"/>
    <cellStyle name="SAPBEXundefined 16 2" xfId="21029" xr:uid="{00000000-0005-0000-0000-000087530000}"/>
    <cellStyle name="SAPBEXundefined 16 3" xfId="21030" xr:uid="{00000000-0005-0000-0000-000088530000}"/>
    <cellStyle name="SAPBEXundefined 16 4" xfId="21031" xr:uid="{00000000-0005-0000-0000-000089530000}"/>
    <cellStyle name="SAPBEXundefined 16 5" xfId="21032" xr:uid="{00000000-0005-0000-0000-00008A530000}"/>
    <cellStyle name="SAPBEXundefined 16 6" xfId="21033" xr:uid="{00000000-0005-0000-0000-00008B530000}"/>
    <cellStyle name="SAPBEXundefined 160" xfId="21034" xr:uid="{00000000-0005-0000-0000-00008C530000}"/>
    <cellStyle name="SAPBEXundefined 161" xfId="21035" xr:uid="{00000000-0005-0000-0000-00008D530000}"/>
    <cellStyle name="SAPBEXundefined 162" xfId="21036" xr:uid="{00000000-0005-0000-0000-00008E530000}"/>
    <cellStyle name="SAPBEXundefined 163" xfId="21037" xr:uid="{00000000-0005-0000-0000-00008F530000}"/>
    <cellStyle name="SAPBEXundefined 164" xfId="21038" xr:uid="{00000000-0005-0000-0000-000090530000}"/>
    <cellStyle name="SAPBEXundefined 165" xfId="21039" xr:uid="{00000000-0005-0000-0000-000091530000}"/>
    <cellStyle name="SAPBEXundefined 166" xfId="21040" xr:uid="{00000000-0005-0000-0000-000092530000}"/>
    <cellStyle name="SAPBEXundefined 167" xfId="21041" xr:uid="{00000000-0005-0000-0000-000093530000}"/>
    <cellStyle name="SAPBEXundefined 168" xfId="21042" xr:uid="{00000000-0005-0000-0000-000094530000}"/>
    <cellStyle name="SAPBEXundefined 169" xfId="21043" xr:uid="{00000000-0005-0000-0000-000095530000}"/>
    <cellStyle name="SAPBEXundefined 17" xfId="21044" xr:uid="{00000000-0005-0000-0000-000096530000}"/>
    <cellStyle name="SAPBEXundefined 17 2" xfId="21045" xr:uid="{00000000-0005-0000-0000-000097530000}"/>
    <cellStyle name="SAPBEXundefined 17 3" xfId="21046" xr:uid="{00000000-0005-0000-0000-000098530000}"/>
    <cellStyle name="SAPBEXundefined 17 4" xfId="21047" xr:uid="{00000000-0005-0000-0000-000099530000}"/>
    <cellStyle name="SAPBEXundefined 17 5" xfId="21048" xr:uid="{00000000-0005-0000-0000-00009A530000}"/>
    <cellStyle name="SAPBEXundefined 17 6" xfId="21049" xr:uid="{00000000-0005-0000-0000-00009B530000}"/>
    <cellStyle name="SAPBEXundefined 170" xfId="21050" xr:uid="{00000000-0005-0000-0000-00009C530000}"/>
    <cellStyle name="SAPBEXundefined 171" xfId="21051" xr:uid="{00000000-0005-0000-0000-00009D530000}"/>
    <cellStyle name="SAPBEXundefined 172" xfId="27797" xr:uid="{00000000-0005-0000-0000-00009E530000}"/>
    <cellStyle name="SAPBEXundefined 173" xfId="27941" xr:uid="{00000000-0005-0000-0000-00009F530000}"/>
    <cellStyle name="SAPBEXundefined 174" xfId="27989" xr:uid="{00000000-0005-0000-0000-0000A0530000}"/>
    <cellStyle name="SAPBEXundefined 175" xfId="28039" xr:uid="{00000000-0005-0000-0000-0000A1530000}"/>
    <cellStyle name="SAPBEXundefined 176" xfId="28171" xr:uid="{00000000-0005-0000-0000-0000A2530000}"/>
    <cellStyle name="SAPBEXundefined 18" xfId="21052" xr:uid="{00000000-0005-0000-0000-0000A3530000}"/>
    <cellStyle name="SAPBEXundefined 18 2" xfId="21053" xr:uid="{00000000-0005-0000-0000-0000A4530000}"/>
    <cellStyle name="SAPBEXundefined 18 3" xfId="21054" xr:uid="{00000000-0005-0000-0000-0000A5530000}"/>
    <cellStyle name="SAPBEXundefined 18 4" xfId="21055" xr:uid="{00000000-0005-0000-0000-0000A6530000}"/>
    <cellStyle name="SAPBEXundefined 18 5" xfId="21056" xr:uid="{00000000-0005-0000-0000-0000A7530000}"/>
    <cellStyle name="SAPBEXundefined 18 6" xfId="21057" xr:uid="{00000000-0005-0000-0000-0000A8530000}"/>
    <cellStyle name="SAPBEXundefined 19" xfId="21058" xr:uid="{00000000-0005-0000-0000-0000A9530000}"/>
    <cellStyle name="SAPBEXundefined 19 2" xfId="21059" xr:uid="{00000000-0005-0000-0000-0000AA530000}"/>
    <cellStyle name="SAPBEXundefined 19 3" xfId="21060" xr:uid="{00000000-0005-0000-0000-0000AB530000}"/>
    <cellStyle name="SAPBEXundefined 19 4" xfId="21061" xr:uid="{00000000-0005-0000-0000-0000AC530000}"/>
    <cellStyle name="SAPBEXundefined 19 5" xfId="21062" xr:uid="{00000000-0005-0000-0000-0000AD530000}"/>
    <cellStyle name="SAPBEXundefined 19 6" xfId="21063" xr:uid="{00000000-0005-0000-0000-0000AE530000}"/>
    <cellStyle name="SAPBEXundefined 2" xfId="21064" xr:uid="{00000000-0005-0000-0000-0000AF530000}"/>
    <cellStyle name="SAPBEXundefined 2 10" xfId="21065" xr:uid="{00000000-0005-0000-0000-0000B0530000}"/>
    <cellStyle name="SAPBEXundefined 2 10 2" xfId="21066" xr:uid="{00000000-0005-0000-0000-0000B1530000}"/>
    <cellStyle name="SAPBEXundefined 2 10 3" xfId="21067" xr:uid="{00000000-0005-0000-0000-0000B2530000}"/>
    <cellStyle name="SAPBEXundefined 2 10 4" xfId="21068" xr:uid="{00000000-0005-0000-0000-0000B3530000}"/>
    <cellStyle name="SAPBEXundefined 2 11" xfId="21069" xr:uid="{00000000-0005-0000-0000-0000B4530000}"/>
    <cellStyle name="SAPBEXundefined 2 11 2" xfId="21070" xr:uid="{00000000-0005-0000-0000-0000B5530000}"/>
    <cellStyle name="SAPBEXundefined 2 11 3" xfId="21071" xr:uid="{00000000-0005-0000-0000-0000B6530000}"/>
    <cellStyle name="SAPBEXundefined 2 11 4" xfId="21072" xr:uid="{00000000-0005-0000-0000-0000B7530000}"/>
    <cellStyle name="SAPBEXundefined 2 12" xfId="21073" xr:uid="{00000000-0005-0000-0000-0000B8530000}"/>
    <cellStyle name="SAPBEXundefined 2 12 2" xfId="21074" xr:uid="{00000000-0005-0000-0000-0000B9530000}"/>
    <cellStyle name="SAPBEXundefined 2 12 3" xfId="21075" xr:uid="{00000000-0005-0000-0000-0000BA530000}"/>
    <cellStyle name="SAPBEXundefined 2 12 4" xfId="21076" xr:uid="{00000000-0005-0000-0000-0000BB530000}"/>
    <cellStyle name="SAPBEXundefined 2 13" xfId="21077" xr:uid="{00000000-0005-0000-0000-0000BC530000}"/>
    <cellStyle name="SAPBEXundefined 2 13 2" xfId="21078" xr:uid="{00000000-0005-0000-0000-0000BD530000}"/>
    <cellStyle name="SAPBEXundefined 2 13 3" xfId="21079" xr:uid="{00000000-0005-0000-0000-0000BE530000}"/>
    <cellStyle name="SAPBEXundefined 2 13 4" xfId="21080" xr:uid="{00000000-0005-0000-0000-0000BF530000}"/>
    <cellStyle name="SAPBEXundefined 2 14" xfId="21081" xr:uid="{00000000-0005-0000-0000-0000C0530000}"/>
    <cellStyle name="SAPBEXundefined 2 15" xfId="21082" xr:uid="{00000000-0005-0000-0000-0000C1530000}"/>
    <cellStyle name="SAPBEXundefined 2 16" xfId="21083" xr:uid="{00000000-0005-0000-0000-0000C2530000}"/>
    <cellStyle name="SAPBEXundefined 2 17" xfId="21084" xr:uid="{00000000-0005-0000-0000-0000C3530000}"/>
    <cellStyle name="SAPBEXundefined 2 18" xfId="21085" xr:uid="{00000000-0005-0000-0000-0000C4530000}"/>
    <cellStyle name="SAPBEXundefined 2 2" xfId="21086" xr:uid="{00000000-0005-0000-0000-0000C5530000}"/>
    <cellStyle name="SAPBEXundefined 2 2 2" xfId="21087" xr:uid="{00000000-0005-0000-0000-0000C6530000}"/>
    <cellStyle name="SAPBEXundefined 2 2 2 2" xfId="21088" xr:uid="{00000000-0005-0000-0000-0000C7530000}"/>
    <cellStyle name="SAPBEXundefined 2 2 2 3" xfId="21089" xr:uid="{00000000-0005-0000-0000-0000C8530000}"/>
    <cellStyle name="SAPBEXundefined 2 2 2 4" xfId="21090" xr:uid="{00000000-0005-0000-0000-0000C9530000}"/>
    <cellStyle name="SAPBEXundefined 2 2 2 5" xfId="21091" xr:uid="{00000000-0005-0000-0000-0000CA530000}"/>
    <cellStyle name="SAPBEXundefined 2 2 2 6" xfId="21092" xr:uid="{00000000-0005-0000-0000-0000CB530000}"/>
    <cellStyle name="SAPBEXundefined 2 2 3" xfId="21093" xr:uid="{00000000-0005-0000-0000-0000CC530000}"/>
    <cellStyle name="SAPBEXundefined 2 2 3 2" xfId="21094" xr:uid="{00000000-0005-0000-0000-0000CD530000}"/>
    <cellStyle name="SAPBEXundefined 2 2 3 3" xfId="21095" xr:uid="{00000000-0005-0000-0000-0000CE530000}"/>
    <cellStyle name="SAPBEXundefined 2 2 3 4" xfId="21096" xr:uid="{00000000-0005-0000-0000-0000CF530000}"/>
    <cellStyle name="SAPBEXundefined 2 2 3 5" xfId="21097" xr:uid="{00000000-0005-0000-0000-0000D0530000}"/>
    <cellStyle name="SAPBEXundefined 2 2 3 6" xfId="21098" xr:uid="{00000000-0005-0000-0000-0000D1530000}"/>
    <cellStyle name="SAPBEXundefined 2 2 4" xfId="21099" xr:uid="{00000000-0005-0000-0000-0000D2530000}"/>
    <cellStyle name="SAPBEXundefined 2 2 4 2" xfId="21100" xr:uid="{00000000-0005-0000-0000-0000D3530000}"/>
    <cellStyle name="SAPBEXundefined 2 2 4 3" xfId="21101" xr:uid="{00000000-0005-0000-0000-0000D4530000}"/>
    <cellStyle name="SAPBEXundefined 2 2 4 4" xfId="21102" xr:uid="{00000000-0005-0000-0000-0000D5530000}"/>
    <cellStyle name="SAPBEXundefined 2 2 4 5" xfId="21103" xr:uid="{00000000-0005-0000-0000-0000D6530000}"/>
    <cellStyle name="SAPBEXundefined 2 2 4 6" xfId="21104" xr:uid="{00000000-0005-0000-0000-0000D7530000}"/>
    <cellStyle name="SAPBEXundefined 2 2 5" xfId="21105" xr:uid="{00000000-0005-0000-0000-0000D8530000}"/>
    <cellStyle name="SAPBEXundefined 2 2 5 2" xfId="21106" xr:uid="{00000000-0005-0000-0000-0000D9530000}"/>
    <cellStyle name="SAPBEXundefined 2 2 5 3" xfId="21107" xr:uid="{00000000-0005-0000-0000-0000DA530000}"/>
    <cellStyle name="SAPBEXundefined 2 2 5 4" xfId="21108" xr:uid="{00000000-0005-0000-0000-0000DB530000}"/>
    <cellStyle name="SAPBEXundefined 2 2 5 5" xfId="21109" xr:uid="{00000000-0005-0000-0000-0000DC530000}"/>
    <cellStyle name="SAPBEXundefined 2 2 5 6" xfId="21110" xr:uid="{00000000-0005-0000-0000-0000DD530000}"/>
    <cellStyle name="SAPBEXundefined 2 2 6" xfId="21111" xr:uid="{00000000-0005-0000-0000-0000DE530000}"/>
    <cellStyle name="SAPBEXundefined 2 2 7" xfId="21112" xr:uid="{00000000-0005-0000-0000-0000DF530000}"/>
    <cellStyle name="SAPBEXundefined 2 2 8" xfId="21113" xr:uid="{00000000-0005-0000-0000-0000E0530000}"/>
    <cellStyle name="SAPBEXundefined 2 3" xfId="21114" xr:uid="{00000000-0005-0000-0000-0000E1530000}"/>
    <cellStyle name="SAPBEXundefined 2 3 2" xfId="21115" xr:uid="{00000000-0005-0000-0000-0000E2530000}"/>
    <cellStyle name="SAPBEXundefined 2 3 2 2" xfId="21116" xr:uid="{00000000-0005-0000-0000-0000E3530000}"/>
    <cellStyle name="SAPBEXundefined 2 3 2 3" xfId="21117" xr:uid="{00000000-0005-0000-0000-0000E4530000}"/>
    <cellStyle name="SAPBEXundefined 2 3 2 4" xfId="21118" xr:uid="{00000000-0005-0000-0000-0000E5530000}"/>
    <cellStyle name="SAPBEXundefined 2 3 2 5" xfId="21119" xr:uid="{00000000-0005-0000-0000-0000E6530000}"/>
    <cellStyle name="SAPBEXundefined 2 3 2 6" xfId="21120" xr:uid="{00000000-0005-0000-0000-0000E7530000}"/>
    <cellStyle name="SAPBEXundefined 2 3 3" xfId="21121" xr:uid="{00000000-0005-0000-0000-0000E8530000}"/>
    <cellStyle name="SAPBEXundefined 2 3 3 2" xfId="21122" xr:uid="{00000000-0005-0000-0000-0000E9530000}"/>
    <cellStyle name="SAPBEXundefined 2 3 3 3" xfId="21123" xr:uid="{00000000-0005-0000-0000-0000EA530000}"/>
    <cellStyle name="SAPBEXundefined 2 3 3 4" xfId="21124" xr:uid="{00000000-0005-0000-0000-0000EB530000}"/>
    <cellStyle name="SAPBEXundefined 2 3 3 5" xfId="21125" xr:uid="{00000000-0005-0000-0000-0000EC530000}"/>
    <cellStyle name="SAPBEXundefined 2 3 3 6" xfId="21126" xr:uid="{00000000-0005-0000-0000-0000ED530000}"/>
    <cellStyle name="SAPBEXundefined 2 3 4" xfId="21127" xr:uid="{00000000-0005-0000-0000-0000EE530000}"/>
    <cellStyle name="SAPBEXundefined 2 3 4 2" xfId="21128" xr:uid="{00000000-0005-0000-0000-0000EF530000}"/>
    <cellStyle name="SAPBEXundefined 2 3 4 3" xfId="21129" xr:uid="{00000000-0005-0000-0000-0000F0530000}"/>
    <cellStyle name="SAPBEXundefined 2 3 4 4" xfId="21130" xr:uid="{00000000-0005-0000-0000-0000F1530000}"/>
    <cellStyle name="SAPBEXundefined 2 3 4 5" xfId="21131" xr:uid="{00000000-0005-0000-0000-0000F2530000}"/>
    <cellStyle name="SAPBEXundefined 2 3 4 6" xfId="21132" xr:uid="{00000000-0005-0000-0000-0000F3530000}"/>
    <cellStyle name="SAPBEXundefined 2 3 5" xfId="21133" xr:uid="{00000000-0005-0000-0000-0000F4530000}"/>
    <cellStyle name="SAPBEXundefined 2 3 5 2" xfId="21134" xr:uid="{00000000-0005-0000-0000-0000F5530000}"/>
    <cellStyle name="SAPBEXundefined 2 3 5 3" xfId="21135" xr:uid="{00000000-0005-0000-0000-0000F6530000}"/>
    <cellStyle name="SAPBEXundefined 2 3 5 4" xfId="21136" xr:uid="{00000000-0005-0000-0000-0000F7530000}"/>
    <cellStyle name="SAPBEXundefined 2 3 5 5" xfId="21137" xr:uid="{00000000-0005-0000-0000-0000F8530000}"/>
    <cellStyle name="SAPBEXundefined 2 3 5 6" xfId="21138" xr:uid="{00000000-0005-0000-0000-0000F9530000}"/>
    <cellStyle name="SAPBEXundefined 2 3 6" xfId="21139" xr:uid="{00000000-0005-0000-0000-0000FA530000}"/>
    <cellStyle name="SAPBEXundefined 2 3 7" xfId="21140" xr:uid="{00000000-0005-0000-0000-0000FB530000}"/>
    <cellStyle name="SAPBEXundefined 2 3 8" xfId="21141" xr:uid="{00000000-0005-0000-0000-0000FC530000}"/>
    <cellStyle name="SAPBEXundefined 2 4" xfId="21142" xr:uid="{00000000-0005-0000-0000-0000FD530000}"/>
    <cellStyle name="SAPBEXundefined 2 4 2" xfId="21143" xr:uid="{00000000-0005-0000-0000-0000FE530000}"/>
    <cellStyle name="SAPBEXundefined 2 4 2 2" xfId="21144" xr:uid="{00000000-0005-0000-0000-0000FF530000}"/>
    <cellStyle name="SAPBEXundefined 2 4 2 3" xfId="21145" xr:uid="{00000000-0005-0000-0000-000000540000}"/>
    <cellStyle name="SAPBEXundefined 2 4 2 4" xfId="21146" xr:uid="{00000000-0005-0000-0000-000001540000}"/>
    <cellStyle name="SAPBEXundefined 2 4 2 5" xfId="21147" xr:uid="{00000000-0005-0000-0000-000002540000}"/>
    <cellStyle name="SAPBEXundefined 2 4 2 6" xfId="21148" xr:uid="{00000000-0005-0000-0000-000003540000}"/>
    <cellStyle name="SAPBEXundefined 2 4 3" xfId="21149" xr:uid="{00000000-0005-0000-0000-000004540000}"/>
    <cellStyle name="SAPBEXundefined 2 4 3 2" xfId="21150" xr:uid="{00000000-0005-0000-0000-000005540000}"/>
    <cellStyle name="SAPBEXundefined 2 4 3 3" xfId="21151" xr:uid="{00000000-0005-0000-0000-000006540000}"/>
    <cellStyle name="SAPBEXundefined 2 4 3 4" xfId="21152" xr:uid="{00000000-0005-0000-0000-000007540000}"/>
    <cellStyle name="SAPBEXundefined 2 4 3 5" xfId="21153" xr:uid="{00000000-0005-0000-0000-000008540000}"/>
    <cellStyle name="SAPBEXundefined 2 4 3 6" xfId="21154" xr:uid="{00000000-0005-0000-0000-000009540000}"/>
    <cellStyle name="SAPBEXundefined 2 4 4" xfId="21155" xr:uid="{00000000-0005-0000-0000-00000A540000}"/>
    <cellStyle name="SAPBEXundefined 2 4 4 2" xfId="21156" xr:uid="{00000000-0005-0000-0000-00000B540000}"/>
    <cellStyle name="SAPBEXundefined 2 4 4 3" xfId="21157" xr:uid="{00000000-0005-0000-0000-00000C540000}"/>
    <cellStyle name="SAPBEXundefined 2 4 4 4" xfId="21158" xr:uid="{00000000-0005-0000-0000-00000D540000}"/>
    <cellStyle name="SAPBEXundefined 2 4 4 5" xfId="21159" xr:uid="{00000000-0005-0000-0000-00000E540000}"/>
    <cellStyle name="SAPBEXundefined 2 4 4 6" xfId="21160" xr:uid="{00000000-0005-0000-0000-00000F540000}"/>
    <cellStyle name="SAPBEXundefined 2 4 5" xfId="21161" xr:uid="{00000000-0005-0000-0000-000010540000}"/>
    <cellStyle name="SAPBEXundefined 2 4 5 2" xfId="21162" xr:uid="{00000000-0005-0000-0000-000011540000}"/>
    <cellStyle name="SAPBEXundefined 2 4 5 3" xfId="21163" xr:uid="{00000000-0005-0000-0000-000012540000}"/>
    <cellStyle name="SAPBEXundefined 2 4 5 4" xfId="21164" xr:uid="{00000000-0005-0000-0000-000013540000}"/>
    <cellStyle name="SAPBEXundefined 2 4 5 5" xfId="21165" xr:uid="{00000000-0005-0000-0000-000014540000}"/>
    <cellStyle name="SAPBEXundefined 2 4 5 6" xfId="21166" xr:uid="{00000000-0005-0000-0000-000015540000}"/>
    <cellStyle name="SAPBEXundefined 2 4 6" xfId="21167" xr:uid="{00000000-0005-0000-0000-000016540000}"/>
    <cellStyle name="SAPBEXundefined 2 4 7" xfId="21168" xr:uid="{00000000-0005-0000-0000-000017540000}"/>
    <cellStyle name="SAPBEXundefined 2 4 8" xfId="21169" xr:uid="{00000000-0005-0000-0000-000018540000}"/>
    <cellStyle name="SAPBEXundefined 2 5" xfId="21170" xr:uid="{00000000-0005-0000-0000-000019540000}"/>
    <cellStyle name="SAPBEXundefined 2 5 2" xfId="21171" xr:uid="{00000000-0005-0000-0000-00001A540000}"/>
    <cellStyle name="SAPBEXundefined 2 5 3" xfId="21172" xr:uid="{00000000-0005-0000-0000-00001B540000}"/>
    <cellStyle name="SAPBEXundefined 2 5 4" xfId="21173" xr:uid="{00000000-0005-0000-0000-00001C540000}"/>
    <cellStyle name="SAPBEXundefined 2 6" xfId="21174" xr:uid="{00000000-0005-0000-0000-00001D540000}"/>
    <cellStyle name="SAPBEXundefined 2 6 2" xfId="21175" xr:uid="{00000000-0005-0000-0000-00001E540000}"/>
    <cellStyle name="SAPBEXundefined 2 6 3" xfId="21176" xr:uid="{00000000-0005-0000-0000-00001F540000}"/>
    <cellStyle name="SAPBEXundefined 2 6 4" xfId="21177" xr:uid="{00000000-0005-0000-0000-000020540000}"/>
    <cellStyle name="SAPBEXundefined 2 7" xfId="21178" xr:uid="{00000000-0005-0000-0000-000021540000}"/>
    <cellStyle name="SAPBEXundefined 2 7 2" xfId="21179" xr:uid="{00000000-0005-0000-0000-000022540000}"/>
    <cellStyle name="SAPBEXundefined 2 7 3" xfId="21180" xr:uid="{00000000-0005-0000-0000-000023540000}"/>
    <cellStyle name="SAPBEXundefined 2 7 4" xfId="21181" xr:uid="{00000000-0005-0000-0000-000024540000}"/>
    <cellStyle name="SAPBEXundefined 2 8" xfId="21182" xr:uid="{00000000-0005-0000-0000-000025540000}"/>
    <cellStyle name="SAPBEXundefined 2 8 2" xfId="21183" xr:uid="{00000000-0005-0000-0000-000026540000}"/>
    <cellStyle name="SAPBEXundefined 2 8 3" xfId="21184" xr:uid="{00000000-0005-0000-0000-000027540000}"/>
    <cellStyle name="SAPBEXundefined 2 8 4" xfId="21185" xr:uid="{00000000-0005-0000-0000-000028540000}"/>
    <cellStyle name="SAPBEXundefined 2 9" xfId="21186" xr:uid="{00000000-0005-0000-0000-000029540000}"/>
    <cellStyle name="SAPBEXundefined 2 9 2" xfId="21187" xr:uid="{00000000-0005-0000-0000-00002A540000}"/>
    <cellStyle name="SAPBEXundefined 2 9 3" xfId="21188" xr:uid="{00000000-0005-0000-0000-00002B540000}"/>
    <cellStyle name="SAPBEXundefined 2 9 4" xfId="21189" xr:uid="{00000000-0005-0000-0000-00002C540000}"/>
    <cellStyle name="SAPBEXundefined 20" xfId="21190" xr:uid="{00000000-0005-0000-0000-00002D540000}"/>
    <cellStyle name="SAPBEXundefined 20 2" xfId="21191" xr:uid="{00000000-0005-0000-0000-00002E540000}"/>
    <cellStyle name="SAPBEXundefined 20 3" xfId="21192" xr:uid="{00000000-0005-0000-0000-00002F540000}"/>
    <cellStyle name="SAPBEXundefined 20 4" xfId="21193" xr:uid="{00000000-0005-0000-0000-000030540000}"/>
    <cellStyle name="SAPBEXundefined 20 5" xfId="21194" xr:uid="{00000000-0005-0000-0000-000031540000}"/>
    <cellStyle name="SAPBEXundefined 20 6" xfId="21195" xr:uid="{00000000-0005-0000-0000-000032540000}"/>
    <cellStyle name="SAPBEXundefined 21" xfId="21196" xr:uid="{00000000-0005-0000-0000-000033540000}"/>
    <cellStyle name="SAPBEXundefined 21 2" xfId="21197" xr:uid="{00000000-0005-0000-0000-000034540000}"/>
    <cellStyle name="SAPBEXundefined 21 3" xfId="21198" xr:uid="{00000000-0005-0000-0000-000035540000}"/>
    <cellStyle name="SAPBEXundefined 21 4" xfId="21199" xr:uid="{00000000-0005-0000-0000-000036540000}"/>
    <cellStyle name="SAPBEXundefined 21 5" xfId="21200" xr:uid="{00000000-0005-0000-0000-000037540000}"/>
    <cellStyle name="SAPBEXundefined 21 6" xfId="21201" xr:uid="{00000000-0005-0000-0000-000038540000}"/>
    <cellStyle name="SAPBEXundefined 22" xfId="21202" xr:uid="{00000000-0005-0000-0000-000039540000}"/>
    <cellStyle name="SAPBEXundefined 22 2" xfId="21203" xr:uid="{00000000-0005-0000-0000-00003A540000}"/>
    <cellStyle name="SAPBEXundefined 22 3" xfId="21204" xr:uid="{00000000-0005-0000-0000-00003B540000}"/>
    <cellStyle name="SAPBEXundefined 22 4" xfId="21205" xr:uid="{00000000-0005-0000-0000-00003C540000}"/>
    <cellStyle name="SAPBEXundefined 22 5" xfId="21206" xr:uid="{00000000-0005-0000-0000-00003D540000}"/>
    <cellStyle name="SAPBEXundefined 22 6" xfId="21207" xr:uid="{00000000-0005-0000-0000-00003E540000}"/>
    <cellStyle name="SAPBEXundefined 23" xfId="21208" xr:uid="{00000000-0005-0000-0000-00003F540000}"/>
    <cellStyle name="SAPBEXundefined 23 2" xfId="21209" xr:uid="{00000000-0005-0000-0000-000040540000}"/>
    <cellStyle name="SAPBEXundefined 23 3" xfId="21210" xr:uid="{00000000-0005-0000-0000-000041540000}"/>
    <cellStyle name="SAPBEXundefined 23 4" xfId="21211" xr:uid="{00000000-0005-0000-0000-000042540000}"/>
    <cellStyle name="SAPBEXundefined 23 5" xfId="21212" xr:uid="{00000000-0005-0000-0000-000043540000}"/>
    <cellStyle name="SAPBEXundefined 23 6" xfId="21213" xr:uid="{00000000-0005-0000-0000-000044540000}"/>
    <cellStyle name="SAPBEXundefined 24" xfId="21214" xr:uid="{00000000-0005-0000-0000-000045540000}"/>
    <cellStyle name="SAPBEXundefined 24 2" xfId="21215" xr:uid="{00000000-0005-0000-0000-000046540000}"/>
    <cellStyle name="SAPBEXundefined 24 3" xfId="21216" xr:uid="{00000000-0005-0000-0000-000047540000}"/>
    <cellStyle name="SAPBEXundefined 24 4" xfId="21217" xr:uid="{00000000-0005-0000-0000-000048540000}"/>
    <cellStyle name="SAPBEXundefined 24 5" xfId="21218" xr:uid="{00000000-0005-0000-0000-000049540000}"/>
    <cellStyle name="SAPBEXundefined 24 6" xfId="21219" xr:uid="{00000000-0005-0000-0000-00004A540000}"/>
    <cellStyle name="SAPBEXundefined 25" xfId="21220" xr:uid="{00000000-0005-0000-0000-00004B540000}"/>
    <cellStyle name="SAPBEXundefined 25 2" xfId="21221" xr:uid="{00000000-0005-0000-0000-00004C540000}"/>
    <cellStyle name="SAPBEXundefined 25 3" xfId="21222" xr:uid="{00000000-0005-0000-0000-00004D540000}"/>
    <cellStyle name="SAPBEXundefined 25 4" xfId="21223" xr:uid="{00000000-0005-0000-0000-00004E540000}"/>
    <cellStyle name="SAPBEXundefined 25 5" xfId="21224" xr:uid="{00000000-0005-0000-0000-00004F540000}"/>
    <cellStyle name="SAPBEXundefined 25 6" xfId="21225" xr:uid="{00000000-0005-0000-0000-000050540000}"/>
    <cellStyle name="SAPBEXundefined 26" xfId="21226" xr:uid="{00000000-0005-0000-0000-000051540000}"/>
    <cellStyle name="SAPBEXundefined 26 2" xfId="21227" xr:uid="{00000000-0005-0000-0000-000052540000}"/>
    <cellStyle name="SAPBEXundefined 26 3" xfId="21228" xr:uid="{00000000-0005-0000-0000-000053540000}"/>
    <cellStyle name="SAPBEXundefined 26 4" xfId="21229" xr:uid="{00000000-0005-0000-0000-000054540000}"/>
    <cellStyle name="SAPBEXundefined 26 5" xfId="21230" xr:uid="{00000000-0005-0000-0000-000055540000}"/>
    <cellStyle name="SAPBEXundefined 26 6" xfId="21231" xr:uid="{00000000-0005-0000-0000-000056540000}"/>
    <cellStyle name="SAPBEXundefined 27" xfId="21232" xr:uid="{00000000-0005-0000-0000-000057540000}"/>
    <cellStyle name="SAPBEXundefined 27 2" xfId="21233" xr:uid="{00000000-0005-0000-0000-000058540000}"/>
    <cellStyle name="SAPBEXundefined 27 3" xfId="21234" xr:uid="{00000000-0005-0000-0000-000059540000}"/>
    <cellStyle name="SAPBEXundefined 27 4" xfId="21235" xr:uid="{00000000-0005-0000-0000-00005A540000}"/>
    <cellStyle name="SAPBEXundefined 27 5" xfId="21236" xr:uid="{00000000-0005-0000-0000-00005B540000}"/>
    <cellStyle name="SAPBEXundefined 27 6" xfId="21237" xr:uid="{00000000-0005-0000-0000-00005C540000}"/>
    <cellStyle name="SAPBEXundefined 28" xfId="21238" xr:uid="{00000000-0005-0000-0000-00005D540000}"/>
    <cellStyle name="SAPBEXundefined 28 2" xfId="21239" xr:uid="{00000000-0005-0000-0000-00005E540000}"/>
    <cellStyle name="SAPBEXundefined 28 3" xfId="21240" xr:uid="{00000000-0005-0000-0000-00005F540000}"/>
    <cellStyle name="SAPBEXundefined 28 4" xfId="21241" xr:uid="{00000000-0005-0000-0000-000060540000}"/>
    <cellStyle name="SAPBEXundefined 28 5" xfId="21242" xr:uid="{00000000-0005-0000-0000-000061540000}"/>
    <cellStyle name="SAPBEXundefined 28 6" xfId="21243" xr:uid="{00000000-0005-0000-0000-000062540000}"/>
    <cellStyle name="SAPBEXundefined 29" xfId="21244" xr:uid="{00000000-0005-0000-0000-000063540000}"/>
    <cellStyle name="SAPBEXundefined 29 2" xfId="21245" xr:uid="{00000000-0005-0000-0000-000064540000}"/>
    <cellStyle name="SAPBEXundefined 29 3" xfId="21246" xr:uid="{00000000-0005-0000-0000-000065540000}"/>
    <cellStyle name="SAPBEXundefined 29 4" xfId="21247" xr:uid="{00000000-0005-0000-0000-000066540000}"/>
    <cellStyle name="SAPBEXundefined 29 5" xfId="21248" xr:uid="{00000000-0005-0000-0000-000067540000}"/>
    <cellStyle name="SAPBEXundefined 29 6" xfId="21249" xr:uid="{00000000-0005-0000-0000-000068540000}"/>
    <cellStyle name="SAPBEXundefined 3" xfId="21250" xr:uid="{00000000-0005-0000-0000-000069540000}"/>
    <cellStyle name="SAPBEXundefined 3 10" xfId="21251" xr:uid="{00000000-0005-0000-0000-00006A540000}"/>
    <cellStyle name="SAPBEXundefined 3 11" xfId="21252" xr:uid="{00000000-0005-0000-0000-00006B540000}"/>
    <cellStyle name="SAPBEXundefined 3 12" xfId="21253" xr:uid="{00000000-0005-0000-0000-00006C540000}"/>
    <cellStyle name="SAPBEXundefined 3 2" xfId="21254" xr:uid="{00000000-0005-0000-0000-00006D540000}"/>
    <cellStyle name="SAPBEXundefined 3 2 2" xfId="21255" xr:uid="{00000000-0005-0000-0000-00006E540000}"/>
    <cellStyle name="SAPBEXundefined 3 2 2 2" xfId="21256" xr:uid="{00000000-0005-0000-0000-00006F540000}"/>
    <cellStyle name="SAPBEXundefined 3 2 2 3" xfId="21257" xr:uid="{00000000-0005-0000-0000-000070540000}"/>
    <cellStyle name="SAPBEXundefined 3 2 2 4" xfId="21258" xr:uid="{00000000-0005-0000-0000-000071540000}"/>
    <cellStyle name="SAPBEXundefined 3 2 2 5" xfId="21259" xr:uid="{00000000-0005-0000-0000-000072540000}"/>
    <cellStyle name="SAPBEXundefined 3 2 2 6" xfId="21260" xr:uid="{00000000-0005-0000-0000-000073540000}"/>
    <cellStyle name="SAPBEXundefined 3 2 3" xfId="21261" xr:uid="{00000000-0005-0000-0000-000074540000}"/>
    <cellStyle name="SAPBEXundefined 3 2 3 2" xfId="21262" xr:uid="{00000000-0005-0000-0000-000075540000}"/>
    <cellStyle name="SAPBEXundefined 3 2 3 3" xfId="21263" xr:uid="{00000000-0005-0000-0000-000076540000}"/>
    <cellStyle name="SAPBEXundefined 3 2 3 4" xfId="21264" xr:uid="{00000000-0005-0000-0000-000077540000}"/>
    <cellStyle name="SAPBEXundefined 3 2 3 5" xfId="21265" xr:uid="{00000000-0005-0000-0000-000078540000}"/>
    <cellStyle name="SAPBEXundefined 3 2 3 6" xfId="21266" xr:uid="{00000000-0005-0000-0000-000079540000}"/>
    <cellStyle name="SAPBEXundefined 3 2 4" xfId="21267" xr:uid="{00000000-0005-0000-0000-00007A540000}"/>
    <cellStyle name="SAPBEXundefined 3 2 4 2" xfId="21268" xr:uid="{00000000-0005-0000-0000-00007B540000}"/>
    <cellStyle name="SAPBEXundefined 3 2 4 3" xfId="21269" xr:uid="{00000000-0005-0000-0000-00007C540000}"/>
    <cellStyle name="SAPBEXundefined 3 2 4 4" xfId="21270" xr:uid="{00000000-0005-0000-0000-00007D540000}"/>
    <cellStyle name="SAPBEXundefined 3 2 4 5" xfId="21271" xr:uid="{00000000-0005-0000-0000-00007E540000}"/>
    <cellStyle name="SAPBEXundefined 3 2 4 6" xfId="21272" xr:uid="{00000000-0005-0000-0000-00007F540000}"/>
    <cellStyle name="SAPBEXundefined 3 2 5" xfId="21273" xr:uid="{00000000-0005-0000-0000-000080540000}"/>
    <cellStyle name="SAPBEXundefined 3 2 5 2" xfId="21274" xr:uid="{00000000-0005-0000-0000-000081540000}"/>
    <cellStyle name="SAPBEXundefined 3 2 5 3" xfId="21275" xr:uid="{00000000-0005-0000-0000-000082540000}"/>
    <cellStyle name="SAPBEXundefined 3 2 5 4" xfId="21276" xr:uid="{00000000-0005-0000-0000-000083540000}"/>
    <cellStyle name="SAPBEXundefined 3 2 5 5" xfId="21277" xr:uid="{00000000-0005-0000-0000-000084540000}"/>
    <cellStyle name="SAPBEXundefined 3 2 5 6" xfId="21278" xr:uid="{00000000-0005-0000-0000-000085540000}"/>
    <cellStyle name="SAPBEXundefined 3 2 6" xfId="21279" xr:uid="{00000000-0005-0000-0000-000086540000}"/>
    <cellStyle name="SAPBEXundefined 3 2 7" xfId="21280" xr:uid="{00000000-0005-0000-0000-000087540000}"/>
    <cellStyle name="SAPBEXundefined 3 2 8" xfId="21281" xr:uid="{00000000-0005-0000-0000-000088540000}"/>
    <cellStyle name="SAPBEXundefined 3 3" xfId="21282" xr:uid="{00000000-0005-0000-0000-000089540000}"/>
    <cellStyle name="SAPBEXundefined 3 3 2" xfId="21283" xr:uid="{00000000-0005-0000-0000-00008A540000}"/>
    <cellStyle name="SAPBEXundefined 3 3 3" xfId="21284" xr:uid="{00000000-0005-0000-0000-00008B540000}"/>
    <cellStyle name="SAPBEXundefined 3 3 4" xfId="21285" xr:uid="{00000000-0005-0000-0000-00008C540000}"/>
    <cellStyle name="SAPBEXundefined 3 3 5" xfId="21286" xr:uid="{00000000-0005-0000-0000-00008D540000}"/>
    <cellStyle name="SAPBEXundefined 3 3 6" xfId="21287" xr:uid="{00000000-0005-0000-0000-00008E540000}"/>
    <cellStyle name="SAPBEXundefined 3 4" xfId="21288" xr:uid="{00000000-0005-0000-0000-00008F540000}"/>
    <cellStyle name="SAPBEXundefined 3 4 2" xfId="21289" xr:uid="{00000000-0005-0000-0000-000090540000}"/>
    <cellStyle name="SAPBEXundefined 3 4 3" xfId="21290" xr:uid="{00000000-0005-0000-0000-000091540000}"/>
    <cellStyle name="SAPBEXundefined 3 4 4" xfId="21291" xr:uid="{00000000-0005-0000-0000-000092540000}"/>
    <cellStyle name="SAPBEXundefined 3 4 5" xfId="21292" xr:uid="{00000000-0005-0000-0000-000093540000}"/>
    <cellStyle name="SAPBEXundefined 3 4 6" xfId="21293" xr:uid="{00000000-0005-0000-0000-000094540000}"/>
    <cellStyle name="SAPBEXundefined 3 5" xfId="21294" xr:uid="{00000000-0005-0000-0000-000095540000}"/>
    <cellStyle name="SAPBEXundefined 3 5 2" xfId="21295" xr:uid="{00000000-0005-0000-0000-000096540000}"/>
    <cellStyle name="SAPBEXundefined 3 5 3" xfId="21296" xr:uid="{00000000-0005-0000-0000-000097540000}"/>
    <cellStyle name="SAPBEXundefined 3 5 4" xfId="21297" xr:uid="{00000000-0005-0000-0000-000098540000}"/>
    <cellStyle name="SAPBEXundefined 3 6" xfId="21298" xr:uid="{00000000-0005-0000-0000-000099540000}"/>
    <cellStyle name="SAPBEXundefined 3 6 2" xfId="21299" xr:uid="{00000000-0005-0000-0000-00009A540000}"/>
    <cellStyle name="SAPBEXundefined 3 6 3" xfId="21300" xr:uid="{00000000-0005-0000-0000-00009B540000}"/>
    <cellStyle name="SAPBEXundefined 3 6 4" xfId="21301" xr:uid="{00000000-0005-0000-0000-00009C540000}"/>
    <cellStyle name="SAPBEXundefined 3 7" xfId="21302" xr:uid="{00000000-0005-0000-0000-00009D540000}"/>
    <cellStyle name="SAPBEXundefined 3 7 2" xfId="21303" xr:uid="{00000000-0005-0000-0000-00009E540000}"/>
    <cellStyle name="SAPBEXundefined 3 7 3" xfId="21304" xr:uid="{00000000-0005-0000-0000-00009F540000}"/>
    <cellStyle name="SAPBEXundefined 3 7 4" xfId="21305" xr:uid="{00000000-0005-0000-0000-0000A0540000}"/>
    <cellStyle name="SAPBEXundefined 3 8" xfId="21306" xr:uid="{00000000-0005-0000-0000-0000A1540000}"/>
    <cellStyle name="SAPBEXundefined 3 9" xfId="21307" xr:uid="{00000000-0005-0000-0000-0000A2540000}"/>
    <cellStyle name="SAPBEXundefined 30" xfId="21308" xr:uid="{00000000-0005-0000-0000-0000A3540000}"/>
    <cellStyle name="SAPBEXundefined 30 2" xfId="21309" xr:uid="{00000000-0005-0000-0000-0000A4540000}"/>
    <cellStyle name="SAPBEXundefined 30 3" xfId="21310" xr:uid="{00000000-0005-0000-0000-0000A5540000}"/>
    <cellStyle name="SAPBEXundefined 30 4" xfId="21311" xr:uid="{00000000-0005-0000-0000-0000A6540000}"/>
    <cellStyle name="SAPBEXundefined 30 5" xfId="21312" xr:uid="{00000000-0005-0000-0000-0000A7540000}"/>
    <cellStyle name="SAPBEXundefined 30 6" xfId="21313" xr:uid="{00000000-0005-0000-0000-0000A8540000}"/>
    <cellStyle name="SAPBEXundefined 31" xfId="21314" xr:uid="{00000000-0005-0000-0000-0000A9540000}"/>
    <cellStyle name="SAPBEXundefined 31 2" xfId="21315" xr:uid="{00000000-0005-0000-0000-0000AA540000}"/>
    <cellStyle name="SAPBEXundefined 31 3" xfId="21316" xr:uid="{00000000-0005-0000-0000-0000AB540000}"/>
    <cellStyle name="SAPBEXundefined 31 4" xfId="21317" xr:uid="{00000000-0005-0000-0000-0000AC540000}"/>
    <cellStyle name="SAPBEXundefined 31 5" xfId="21318" xr:uid="{00000000-0005-0000-0000-0000AD540000}"/>
    <cellStyle name="SAPBEXundefined 31 6" xfId="21319" xr:uid="{00000000-0005-0000-0000-0000AE540000}"/>
    <cellStyle name="SAPBEXundefined 32" xfId="21320" xr:uid="{00000000-0005-0000-0000-0000AF540000}"/>
    <cellStyle name="SAPBEXundefined 32 2" xfId="21321" xr:uid="{00000000-0005-0000-0000-0000B0540000}"/>
    <cellStyle name="SAPBEXundefined 32 3" xfId="21322" xr:uid="{00000000-0005-0000-0000-0000B1540000}"/>
    <cellStyle name="SAPBEXundefined 32 4" xfId="21323" xr:uid="{00000000-0005-0000-0000-0000B2540000}"/>
    <cellStyle name="SAPBEXundefined 32 5" xfId="21324" xr:uid="{00000000-0005-0000-0000-0000B3540000}"/>
    <cellStyle name="SAPBEXundefined 32 6" xfId="21325" xr:uid="{00000000-0005-0000-0000-0000B4540000}"/>
    <cellStyle name="SAPBEXundefined 33" xfId="21326" xr:uid="{00000000-0005-0000-0000-0000B5540000}"/>
    <cellStyle name="SAPBEXundefined 34" xfId="21327" xr:uid="{00000000-0005-0000-0000-0000B6540000}"/>
    <cellStyle name="SAPBEXundefined 35" xfId="21328" xr:uid="{00000000-0005-0000-0000-0000B7540000}"/>
    <cellStyle name="SAPBEXundefined 36" xfId="21329" xr:uid="{00000000-0005-0000-0000-0000B8540000}"/>
    <cellStyle name="SAPBEXundefined 37" xfId="21330" xr:uid="{00000000-0005-0000-0000-0000B9540000}"/>
    <cellStyle name="SAPBEXundefined 38" xfId="21331" xr:uid="{00000000-0005-0000-0000-0000BA540000}"/>
    <cellStyle name="SAPBEXundefined 39" xfId="21332" xr:uid="{00000000-0005-0000-0000-0000BB540000}"/>
    <cellStyle name="SAPBEXundefined 4" xfId="21333" xr:uid="{00000000-0005-0000-0000-0000BC540000}"/>
    <cellStyle name="SAPBEXundefined 4 2" xfId="21334" xr:uid="{00000000-0005-0000-0000-0000BD540000}"/>
    <cellStyle name="SAPBEXundefined 4 3" xfId="21335" xr:uid="{00000000-0005-0000-0000-0000BE540000}"/>
    <cellStyle name="SAPBEXundefined 4 4" xfId="21336" xr:uid="{00000000-0005-0000-0000-0000BF540000}"/>
    <cellStyle name="SAPBEXundefined 4 5" xfId="21337" xr:uid="{00000000-0005-0000-0000-0000C0540000}"/>
    <cellStyle name="SAPBEXundefined 4 6" xfId="21338" xr:uid="{00000000-0005-0000-0000-0000C1540000}"/>
    <cellStyle name="SAPBEXundefined 40" xfId="21339" xr:uid="{00000000-0005-0000-0000-0000C2540000}"/>
    <cellStyle name="SAPBEXundefined 41" xfId="21340" xr:uid="{00000000-0005-0000-0000-0000C3540000}"/>
    <cellStyle name="SAPBEXundefined 42" xfId="21341" xr:uid="{00000000-0005-0000-0000-0000C4540000}"/>
    <cellStyle name="SAPBEXundefined 43" xfId="21342" xr:uid="{00000000-0005-0000-0000-0000C5540000}"/>
    <cellStyle name="SAPBEXundefined 44" xfId="21343" xr:uid="{00000000-0005-0000-0000-0000C6540000}"/>
    <cellStyle name="SAPBEXundefined 45" xfId="21344" xr:uid="{00000000-0005-0000-0000-0000C7540000}"/>
    <cellStyle name="SAPBEXundefined 46" xfId="21345" xr:uid="{00000000-0005-0000-0000-0000C8540000}"/>
    <cellStyle name="SAPBEXundefined 47" xfId="21346" xr:uid="{00000000-0005-0000-0000-0000C9540000}"/>
    <cellStyle name="SAPBEXundefined 48" xfId="21347" xr:uid="{00000000-0005-0000-0000-0000CA540000}"/>
    <cellStyle name="SAPBEXundefined 49" xfId="21348" xr:uid="{00000000-0005-0000-0000-0000CB540000}"/>
    <cellStyle name="SAPBEXundefined 5" xfId="21349" xr:uid="{00000000-0005-0000-0000-0000CC540000}"/>
    <cellStyle name="SAPBEXundefined 5 2" xfId="21350" xr:uid="{00000000-0005-0000-0000-0000CD540000}"/>
    <cellStyle name="SAPBEXundefined 5 3" xfId="21351" xr:uid="{00000000-0005-0000-0000-0000CE540000}"/>
    <cellStyle name="SAPBEXundefined 5 4" xfId="21352" xr:uid="{00000000-0005-0000-0000-0000CF540000}"/>
    <cellStyle name="SAPBEXundefined 5 5" xfId="21353" xr:uid="{00000000-0005-0000-0000-0000D0540000}"/>
    <cellStyle name="SAPBEXundefined 5 6" xfId="21354" xr:uid="{00000000-0005-0000-0000-0000D1540000}"/>
    <cellStyle name="SAPBEXundefined 50" xfId="21355" xr:uid="{00000000-0005-0000-0000-0000D2540000}"/>
    <cellStyle name="SAPBEXundefined 51" xfId="21356" xr:uid="{00000000-0005-0000-0000-0000D3540000}"/>
    <cellStyle name="SAPBEXundefined 52" xfId="21357" xr:uid="{00000000-0005-0000-0000-0000D4540000}"/>
    <cellStyle name="SAPBEXundefined 53" xfId="21358" xr:uid="{00000000-0005-0000-0000-0000D5540000}"/>
    <cellStyle name="SAPBEXundefined 54" xfId="21359" xr:uid="{00000000-0005-0000-0000-0000D6540000}"/>
    <cellStyle name="SAPBEXundefined 55" xfId="21360" xr:uid="{00000000-0005-0000-0000-0000D7540000}"/>
    <cellStyle name="SAPBEXundefined 56" xfId="21361" xr:uid="{00000000-0005-0000-0000-0000D8540000}"/>
    <cellStyle name="SAPBEXundefined 57" xfId="21362" xr:uid="{00000000-0005-0000-0000-0000D9540000}"/>
    <cellStyle name="SAPBEXundefined 58" xfId="21363" xr:uid="{00000000-0005-0000-0000-0000DA540000}"/>
    <cellStyle name="SAPBEXundefined 59" xfId="21364" xr:uid="{00000000-0005-0000-0000-0000DB540000}"/>
    <cellStyle name="SAPBEXundefined 6" xfId="21365" xr:uid="{00000000-0005-0000-0000-0000DC540000}"/>
    <cellStyle name="SAPBEXundefined 6 10" xfId="21366" xr:uid="{00000000-0005-0000-0000-0000DD540000}"/>
    <cellStyle name="SAPBEXundefined 6 2" xfId="21367" xr:uid="{00000000-0005-0000-0000-0000DE540000}"/>
    <cellStyle name="SAPBEXundefined 6 2 2" xfId="21368" xr:uid="{00000000-0005-0000-0000-0000DF540000}"/>
    <cellStyle name="SAPBEXundefined 6 2 3" xfId="21369" xr:uid="{00000000-0005-0000-0000-0000E0540000}"/>
    <cellStyle name="SAPBEXundefined 6 2 4" xfId="21370" xr:uid="{00000000-0005-0000-0000-0000E1540000}"/>
    <cellStyle name="SAPBEXundefined 6 3" xfId="21371" xr:uid="{00000000-0005-0000-0000-0000E2540000}"/>
    <cellStyle name="SAPBEXundefined 6 3 2" xfId="21372" xr:uid="{00000000-0005-0000-0000-0000E3540000}"/>
    <cellStyle name="SAPBEXundefined 6 3 3" xfId="21373" xr:uid="{00000000-0005-0000-0000-0000E4540000}"/>
    <cellStyle name="SAPBEXundefined 6 3 4" xfId="21374" xr:uid="{00000000-0005-0000-0000-0000E5540000}"/>
    <cellStyle name="SAPBEXundefined 6 4" xfId="21375" xr:uid="{00000000-0005-0000-0000-0000E6540000}"/>
    <cellStyle name="SAPBEXundefined 6 4 2" xfId="21376" xr:uid="{00000000-0005-0000-0000-0000E7540000}"/>
    <cellStyle name="SAPBEXundefined 6 4 3" xfId="21377" xr:uid="{00000000-0005-0000-0000-0000E8540000}"/>
    <cellStyle name="SAPBEXundefined 6 4 4" xfId="21378" xr:uid="{00000000-0005-0000-0000-0000E9540000}"/>
    <cellStyle name="SAPBEXundefined 6 5" xfId="21379" xr:uid="{00000000-0005-0000-0000-0000EA540000}"/>
    <cellStyle name="SAPBEXundefined 6 5 2" xfId="21380" xr:uid="{00000000-0005-0000-0000-0000EB540000}"/>
    <cellStyle name="SAPBEXundefined 6 5 3" xfId="21381" xr:uid="{00000000-0005-0000-0000-0000EC540000}"/>
    <cellStyle name="SAPBEXundefined 6 5 4" xfId="21382" xr:uid="{00000000-0005-0000-0000-0000ED540000}"/>
    <cellStyle name="SAPBEXundefined 6 6" xfId="21383" xr:uid="{00000000-0005-0000-0000-0000EE540000}"/>
    <cellStyle name="SAPBEXundefined 6 7" xfId="21384" xr:uid="{00000000-0005-0000-0000-0000EF540000}"/>
    <cellStyle name="SAPBEXundefined 6 8" xfId="21385" xr:uid="{00000000-0005-0000-0000-0000F0540000}"/>
    <cellStyle name="SAPBEXundefined 6 9" xfId="21386" xr:uid="{00000000-0005-0000-0000-0000F1540000}"/>
    <cellStyle name="SAPBEXundefined 60" xfId="21387" xr:uid="{00000000-0005-0000-0000-0000F2540000}"/>
    <cellStyle name="SAPBEXundefined 61" xfId="21388" xr:uid="{00000000-0005-0000-0000-0000F3540000}"/>
    <cellStyle name="SAPBEXundefined 62" xfId="21389" xr:uid="{00000000-0005-0000-0000-0000F4540000}"/>
    <cellStyle name="SAPBEXundefined 63" xfId="21390" xr:uid="{00000000-0005-0000-0000-0000F5540000}"/>
    <cellStyle name="SAPBEXundefined 64" xfId="21391" xr:uid="{00000000-0005-0000-0000-0000F6540000}"/>
    <cellStyle name="SAPBEXundefined 65" xfId="21392" xr:uid="{00000000-0005-0000-0000-0000F7540000}"/>
    <cellStyle name="SAPBEXundefined 66" xfId="21393" xr:uid="{00000000-0005-0000-0000-0000F8540000}"/>
    <cellStyle name="SAPBEXundefined 67" xfId="21394" xr:uid="{00000000-0005-0000-0000-0000F9540000}"/>
    <cellStyle name="SAPBEXundefined 68" xfId="21395" xr:uid="{00000000-0005-0000-0000-0000FA540000}"/>
    <cellStyle name="SAPBEXundefined 69" xfId="21396" xr:uid="{00000000-0005-0000-0000-0000FB540000}"/>
    <cellStyle name="SAPBEXundefined 7" xfId="21397" xr:uid="{00000000-0005-0000-0000-0000FC540000}"/>
    <cellStyle name="SAPBEXundefined 7 10" xfId="21398" xr:uid="{00000000-0005-0000-0000-0000FD540000}"/>
    <cellStyle name="SAPBEXundefined 7 2" xfId="21399" xr:uid="{00000000-0005-0000-0000-0000FE540000}"/>
    <cellStyle name="SAPBEXundefined 7 2 2" xfId="21400" xr:uid="{00000000-0005-0000-0000-0000FF540000}"/>
    <cellStyle name="SAPBEXundefined 7 2 3" xfId="21401" xr:uid="{00000000-0005-0000-0000-000000550000}"/>
    <cellStyle name="SAPBEXundefined 7 2 4" xfId="21402" xr:uid="{00000000-0005-0000-0000-000001550000}"/>
    <cellStyle name="SAPBEXundefined 7 3" xfId="21403" xr:uid="{00000000-0005-0000-0000-000002550000}"/>
    <cellStyle name="SAPBEXundefined 7 3 2" xfId="21404" xr:uid="{00000000-0005-0000-0000-000003550000}"/>
    <cellStyle name="SAPBEXundefined 7 3 3" xfId="21405" xr:uid="{00000000-0005-0000-0000-000004550000}"/>
    <cellStyle name="SAPBEXundefined 7 3 4" xfId="21406" xr:uid="{00000000-0005-0000-0000-000005550000}"/>
    <cellStyle name="SAPBEXundefined 7 4" xfId="21407" xr:uid="{00000000-0005-0000-0000-000006550000}"/>
    <cellStyle name="SAPBEXundefined 7 4 2" xfId="21408" xr:uid="{00000000-0005-0000-0000-000007550000}"/>
    <cellStyle name="SAPBEXundefined 7 4 3" xfId="21409" xr:uid="{00000000-0005-0000-0000-000008550000}"/>
    <cellStyle name="SAPBEXundefined 7 4 4" xfId="21410" xr:uid="{00000000-0005-0000-0000-000009550000}"/>
    <cellStyle name="SAPBEXundefined 7 5" xfId="21411" xr:uid="{00000000-0005-0000-0000-00000A550000}"/>
    <cellStyle name="SAPBEXundefined 7 5 2" xfId="21412" xr:uid="{00000000-0005-0000-0000-00000B550000}"/>
    <cellStyle name="SAPBEXundefined 7 5 3" xfId="21413" xr:uid="{00000000-0005-0000-0000-00000C550000}"/>
    <cellStyle name="SAPBEXundefined 7 5 4" xfId="21414" xr:uid="{00000000-0005-0000-0000-00000D550000}"/>
    <cellStyle name="SAPBEXundefined 7 6" xfId="21415" xr:uid="{00000000-0005-0000-0000-00000E550000}"/>
    <cellStyle name="SAPBEXundefined 7 7" xfId="21416" xr:uid="{00000000-0005-0000-0000-00000F550000}"/>
    <cellStyle name="SAPBEXundefined 7 8" xfId="21417" xr:uid="{00000000-0005-0000-0000-000010550000}"/>
    <cellStyle name="SAPBEXundefined 7 9" xfId="21418" xr:uid="{00000000-0005-0000-0000-000011550000}"/>
    <cellStyle name="SAPBEXundefined 70" xfId="21419" xr:uid="{00000000-0005-0000-0000-000012550000}"/>
    <cellStyle name="SAPBEXundefined 71" xfId="21420" xr:uid="{00000000-0005-0000-0000-000013550000}"/>
    <cellStyle name="SAPBEXundefined 72" xfId="21421" xr:uid="{00000000-0005-0000-0000-000014550000}"/>
    <cellStyle name="SAPBEXundefined 73" xfId="21422" xr:uid="{00000000-0005-0000-0000-000015550000}"/>
    <cellStyle name="SAPBEXundefined 74" xfId="21423" xr:uid="{00000000-0005-0000-0000-000016550000}"/>
    <cellStyle name="SAPBEXundefined 75" xfId="21424" xr:uid="{00000000-0005-0000-0000-000017550000}"/>
    <cellStyle name="SAPBEXundefined 76" xfId="21425" xr:uid="{00000000-0005-0000-0000-000018550000}"/>
    <cellStyle name="SAPBEXundefined 77" xfId="21426" xr:uid="{00000000-0005-0000-0000-000019550000}"/>
    <cellStyle name="SAPBEXundefined 78" xfId="21427" xr:uid="{00000000-0005-0000-0000-00001A550000}"/>
    <cellStyle name="SAPBEXundefined 79" xfId="21428" xr:uid="{00000000-0005-0000-0000-00001B550000}"/>
    <cellStyle name="SAPBEXundefined 8" xfId="21429" xr:uid="{00000000-0005-0000-0000-00001C550000}"/>
    <cellStyle name="SAPBEXundefined 8 2" xfId="21430" xr:uid="{00000000-0005-0000-0000-00001D550000}"/>
    <cellStyle name="SAPBEXundefined 8 3" xfId="21431" xr:uid="{00000000-0005-0000-0000-00001E550000}"/>
    <cellStyle name="SAPBEXundefined 8 4" xfId="21432" xr:uid="{00000000-0005-0000-0000-00001F550000}"/>
    <cellStyle name="SAPBEXundefined 8 5" xfId="21433" xr:uid="{00000000-0005-0000-0000-000020550000}"/>
    <cellStyle name="SAPBEXundefined 8 6" xfId="21434" xr:uid="{00000000-0005-0000-0000-000021550000}"/>
    <cellStyle name="SAPBEXundefined 80" xfId="21435" xr:uid="{00000000-0005-0000-0000-000022550000}"/>
    <cellStyle name="SAPBEXundefined 81" xfId="21436" xr:uid="{00000000-0005-0000-0000-000023550000}"/>
    <cellStyle name="SAPBEXundefined 82" xfId="21437" xr:uid="{00000000-0005-0000-0000-000024550000}"/>
    <cellStyle name="SAPBEXundefined 83" xfId="21438" xr:uid="{00000000-0005-0000-0000-000025550000}"/>
    <cellStyle name="SAPBEXundefined 84" xfId="21439" xr:uid="{00000000-0005-0000-0000-000026550000}"/>
    <cellStyle name="SAPBEXundefined 85" xfId="21440" xr:uid="{00000000-0005-0000-0000-000027550000}"/>
    <cellStyle name="SAPBEXundefined 86" xfId="21441" xr:uid="{00000000-0005-0000-0000-000028550000}"/>
    <cellStyle name="SAPBEXundefined 87" xfId="21442" xr:uid="{00000000-0005-0000-0000-000029550000}"/>
    <cellStyle name="SAPBEXundefined 88" xfId="21443" xr:uid="{00000000-0005-0000-0000-00002A550000}"/>
    <cellStyle name="SAPBEXundefined 89" xfId="21444" xr:uid="{00000000-0005-0000-0000-00002B550000}"/>
    <cellStyle name="SAPBEXundefined 9" xfId="21445" xr:uid="{00000000-0005-0000-0000-00002C550000}"/>
    <cellStyle name="SAPBEXundefined 9 2" xfId="21446" xr:uid="{00000000-0005-0000-0000-00002D550000}"/>
    <cellStyle name="SAPBEXundefined 9 3" xfId="21447" xr:uid="{00000000-0005-0000-0000-00002E550000}"/>
    <cellStyle name="SAPBEXundefined 9 4" xfId="21448" xr:uid="{00000000-0005-0000-0000-00002F550000}"/>
    <cellStyle name="SAPBEXundefined 9 5" xfId="21449" xr:uid="{00000000-0005-0000-0000-000030550000}"/>
    <cellStyle name="SAPBEXundefined 9 6" xfId="21450" xr:uid="{00000000-0005-0000-0000-000031550000}"/>
    <cellStyle name="SAPBEXundefined 90" xfId="21451" xr:uid="{00000000-0005-0000-0000-000032550000}"/>
    <cellStyle name="SAPBEXundefined 91" xfId="21452" xr:uid="{00000000-0005-0000-0000-000033550000}"/>
    <cellStyle name="SAPBEXundefined 92" xfId="21453" xr:uid="{00000000-0005-0000-0000-000034550000}"/>
    <cellStyle name="SAPBEXundefined 93" xfId="21454" xr:uid="{00000000-0005-0000-0000-000035550000}"/>
    <cellStyle name="SAPBEXundefined 94" xfId="21455" xr:uid="{00000000-0005-0000-0000-000036550000}"/>
    <cellStyle name="SAPBEXundefined 95" xfId="21456" xr:uid="{00000000-0005-0000-0000-000037550000}"/>
    <cellStyle name="SAPBEXundefined 96" xfId="21457" xr:uid="{00000000-0005-0000-0000-000038550000}"/>
    <cellStyle name="SAPBEXundefined 97" xfId="21458" xr:uid="{00000000-0005-0000-0000-000039550000}"/>
    <cellStyle name="SAPBEXundefined 98" xfId="21459" xr:uid="{00000000-0005-0000-0000-00003A550000}"/>
    <cellStyle name="SAPBEXundefined 99" xfId="21460" xr:uid="{00000000-0005-0000-0000-00003B550000}"/>
    <cellStyle name="SAPBEXundefined_Receipts" xfId="21461" xr:uid="{00000000-0005-0000-0000-00003C550000}"/>
    <cellStyle name="Scen_index" xfId="21462" xr:uid="{00000000-0005-0000-0000-00003D550000}"/>
    <cellStyle name="Section_heading" xfId="21463" xr:uid="{00000000-0005-0000-0000-00003E550000}"/>
    <cellStyle name="SectionHeaderNormal" xfId="21464" xr:uid="{00000000-0005-0000-0000-00003F550000}"/>
    <cellStyle name="SEM-BPS-input-on" xfId="21465" xr:uid="{00000000-0005-0000-0000-000040550000}"/>
    <cellStyle name="SEM-BPS-input-on 2" xfId="27875" xr:uid="{00000000-0005-0000-0000-000041550000}"/>
    <cellStyle name="Shade" xfId="21466" xr:uid="{00000000-0005-0000-0000-000042550000}"/>
    <cellStyle name="Shaded" xfId="21467" xr:uid="{00000000-0005-0000-0000-000043550000}"/>
    <cellStyle name="SHADEDSTORES" xfId="21468" xr:uid="{00000000-0005-0000-0000-000044550000}"/>
    <cellStyle name="SHADEDSTORES 2" xfId="21469" xr:uid="{00000000-0005-0000-0000-000045550000}"/>
    <cellStyle name="SHADEDSTORES 2 2" xfId="21470" xr:uid="{00000000-0005-0000-0000-000046550000}"/>
    <cellStyle name="SHADEDSTORES 2 3" xfId="21471" xr:uid="{00000000-0005-0000-0000-000047550000}"/>
    <cellStyle name="SHADEDSTORES 3" xfId="21472" xr:uid="{00000000-0005-0000-0000-000048550000}"/>
    <cellStyle name="SHADEDSTORES 4" xfId="21473" xr:uid="{00000000-0005-0000-0000-000049550000}"/>
    <cellStyle name="Shares" xfId="21474" xr:uid="{00000000-0005-0000-0000-00004A550000}"/>
    <cellStyle name="Sheet Title" xfId="21475" xr:uid="{00000000-0005-0000-0000-00004B550000}"/>
    <cellStyle name="Sheet Title 2" xfId="21476" xr:uid="{00000000-0005-0000-0000-00004C550000}"/>
    <cellStyle name="single" xfId="21477" xr:uid="{00000000-0005-0000-0000-00004D550000}"/>
    <cellStyle name="Single Accounting" xfId="21478" xr:uid="{00000000-0005-0000-0000-00004E550000}"/>
    <cellStyle name="Single Border" xfId="21479" xr:uid="{00000000-0005-0000-0000-00004F550000}"/>
    <cellStyle name="Single Cell Column Heading" xfId="21480" xr:uid="{00000000-0005-0000-0000-000050550000}"/>
    <cellStyle name="Single Cell Column Heading 2" xfId="21481" xr:uid="{00000000-0005-0000-0000-000051550000}"/>
    <cellStyle name="Single Cell Column Heading 3" xfId="21482" xr:uid="{00000000-0005-0000-0000-000052550000}"/>
    <cellStyle name="Single Cell Column Heading_ar and other liab_AS - with normalisations (3)" xfId="21483" xr:uid="{00000000-0005-0000-0000-000053550000}"/>
    <cellStyle name="Single Underline" xfId="21484" xr:uid="{00000000-0005-0000-0000-000054550000}"/>
    <cellStyle name="single underscore" xfId="21485" xr:uid="{00000000-0005-0000-0000-000055550000}"/>
    <cellStyle name="Slash3digits" xfId="21486" xr:uid="{00000000-0005-0000-0000-000056550000}"/>
    <cellStyle name="Slash3digits 2" xfId="21487" xr:uid="{00000000-0005-0000-0000-000057550000}"/>
    <cellStyle name="Small Page Heading" xfId="21488" xr:uid="{00000000-0005-0000-0000-000058550000}"/>
    <cellStyle name="Source" xfId="21489" xr:uid="{00000000-0005-0000-0000-000059550000}"/>
    <cellStyle name="Source Line" xfId="21490" xr:uid="{00000000-0005-0000-0000-00005A550000}"/>
    <cellStyle name="SourceDetails" xfId="21491" xr:uid="{00000000-0005-0000-0000-00005B550000}"/>
    <cellStyle name="specstores" xfId="21492" xr:uid="{00000000-0005-0000-0000-00005C550000}"/>
    <cellStyle name="Standard_BS14" xfId="21493" xr:uid="{00000000-0005-0000-0000-00005D550000}"/>
    <cellStyle name="STYL1 - Style1" xfId="21494" xr:uid="{00000000-0005-0000-0000-00005E550000}"/>
    <cellStyle name="STYL2 - Style2" xfId="21495" xr:uid="{00000000-0005-0000-0000-00005F550000}"/>
    <cellStyle name="STYL3 - Style3" xfId="21496" xr:uid="{00000000-0005-0000-0000-000060550000}"/>
    <cellStyle name="STYL4 - Style4" xfId="21497" xr:uid="{00000000-0005-0000-0000-000061550000}"/>
    <cellStyle name="STYL5 - Style5" xfId="21498" xr:uid="{00000000-0005-0000-0000-000062550000}"/>
    <cellStyle name="Style 1" xfId="21499" xr:uid="{00000000-0005-0000-0000-000063550000}"/>
    <cellStyle name="Style 10" xfId="21500" xr:uid="{00000000-0005-0000-0000-000064550000}"/>
    <cellStyle name="Style 100" xfId="21501" xr:uid="{00000000-0005-0000-0000-000065550000}"/>
    <cellStyle name="Style 101" xfId="21502" xr:uid="{00000000-0005-0000-0000-000066550000}"/>
    <cellStyle name="Style 102" xfId="21503" xr:uid="{00000000-0005-0000-0000-000067550000}"/>
    <cellStyle name="Style 103" xfId="21504" xr:uid="{00000000-0005-0000-0000-000068550000}"/>
    <cellStyle name="Style 104" xfId="21505" xr:uid="{00000000-0005-0000-0000-000069550000}"/>
    <cellStyle name="Style 11" xfId="21506" xr:uid="{00000000-0005-0000-0000-00006A550000}"/>
    <cellStyle name="Style 12" xfId="21507" xr:uid="{00000000-0005-0000-0000-00006B550000}"/>
    <cellStyle name="Style 13" xfId="21508" xr:uid="{00000000-0005-0000-0000-00006C550000}"/>
    <cellStyle name="Style 14" xfId="21509" xr:uid="{00000000-0005-0000-0000-00006D550000}"/>
    <cellStyle name="Style 15" xfId="21510" xr:uid="{00000000-0005-0000-0000-00006E550000}"/>
    <cellStyle name="Style 16" xfId="21511" xr:uid="{00000000-0005-0000-0000-00006F550000}"/>
    <cellStyle name="Style 17" xfId="21512" xr:uid="{00000000-0005-0000-0000-000070550000}"/>
    <cellStyle name="Style 18" xfId="21513" xr:uid="{00000000-0005-0000-0000-000071550000}"/>
    <cellStyle name="Style 19" xfId="21514" xr:uid="{00000000-0005-0000-0000-000072550000}"/>
    <cellStyle name="Style 2" xfId="21515" xr:uid="{00000000-0005-0000-0000-000073550000}"/>
    <cellStyle name="Style 21" xfId="21516" xr:uid="{00000000-0005-0000-0000-000074550000}"/>
    <cellStyle name="Style 22" xfId="21517" xr:uid="{00000000-0005-0000-0000-000075550000}"/>
    <cellStyle name="Style 23" xfId="21518" xr:uid="{00000000-0005-0000-0000-000076550000}"/>
    <cellStyle name="Style 24" xfId="21519" xr:uid="{00000000-0005-0000-0000-000077550000}"/>
    <cellStyle name="Style 25" xfId="21520" xr:uid="{00000000-0005-0000-0000-000078550000}"/>
    <cellStyle name="Style 26" xfId="21521" xr:uid="{00000000-0005-0000-0000-000079550000}"/>
    <cellStyle name="Style 27" xfId="21522" xr:uid="{00000000-0005-0000-0000-00007A550000}"/>
    <cellStyle name="Style 28" xfId="21523" xr:uid="{00000000-0005-0000-0000-00007B550000}"/>
    <cellStyle name="Style 29" xfId="21524" xr:uid="{00000000-0005-0000-0000-00007C550000}"/>
    <cellStyle name="Style 3" xfId="21525" xr:uid="{00000000-0005-0000-0000-00007D550000}"/>
    <cellStyle name="Style 30" xfId="21526" xr:uid="{00000000-0005-0000-0000-00007E550000}"/>
    <cellStyle name="Style 31" xfId="21527" xr:uid="{00000000-0005-0000-0000-00007F550000}"/>
    <cellStyle name="Style 32" xfId="21528" xr:uid="{00000000-0005-0000-0000-000080550000}"/>
    <cellStyle name="Style 33" xfId="21529" xr:uid="{00000000-0005-0000-0000-000081550000}"/>
    <cellStyle name="Style 34" xfId="21530" xr:uid="{00000000-0005-0000-0000-000082550000}"/>
    <cellStyle name="Style 35" xfId="21531" xr:uid="{00000000-0005-0000-0000-000083550000}"/>
    <cellStyle name="Style 36" xfId="21532" xr:uid="{00000000-0005-0000-0000-000084550000}"/>
    <cellStyle name="Style 37" xfId="21533" xr:uid="{00000000-0005-0000-0000-000085550000}"/>
    <cellStyle name="Style 38" xfId="21534" xr:uid="{00000000-0005-0000-0000-000086550000}"/>
    <cellStyle name="Style 39" xfId="21535" xr:uid="{00000000-0005-0000-0000-000087550000}"/>
    <cellStyle name="Style 4" xfId="21536" xr:uid="{00000000-0005-0000-0000-000088550000}"/>
    <cellStyle name="Style 40" xfId="21537" xr:uid="{00000000-0005-0000-0000-000089550000}"/>
    <cellStyle name="Style 41" xfId="21538" xr:uid="{00000000-0005-0000-0000-00008A550000}"/>
    <cellStyle name="Style 42" xfId="21539" xr:uid="{00000000-0005-0000-0000-00008B550000}"/>
    <cellStyle name="Style 43" xfId="21540" xr:uid="{00000000-0005-0000-0000-00008C550000}"/>
    <cellStyle name="Style 44" xfId="21541" xr:uid="{00000000-0005-0000-0000-00008D550000}"/>
    <cellStyle name="Style 45" xfId="21542" xr:uid="{00000000-0005-0000-0000-00008E550000}"/>
    <cellStyle name="Style 46" xfId="21543" xr:uid="{00000000-0005-0000-0000-00008F550000}"/>
    <cellStyle name="Style 47" xfId="21544" xr:uid="{00000000-0005-0000-0000-000090550000}"/>
    <cellStyle name="Style 48" xfId="21545" xr:uid="{00000000-0005-0000-0000-000091550000}"/>
    <cellStyle name="Style 49" xfId="21546" xr:uid="{00000000-0005-0000-0000-000092550000}"/>
    <cellStyle name="Style 5" xfId="21547" xr:uid="{00000000-0005-0000-0000-000093550000}"/>
    <cellStyle name="Style 50" xfId="21548" xr:uid="{00000000-0005-0000-0000-000094550000}"/>
    <cellStyle name="Style 51" xfId="21549" xr:uid="{00000000-0005-0000-0000-000095550000}"/>
    <cellStyle name="Style 52" xfId="21550" xr:uid="{00000000-0005-0000-0000-000096550000}"/>
    <cellStyle name="Style 53" xfId="21551" xr:uid="{00000000-0005-0000-0000-000097550000}"/>
    <cellStyle name="Style 54" xfId="21552" xr:uid="{00000000-0005-0000-0000-000098550000}"/>
    <cellStyle name="Style 55" xfId="21553" xr:uid="{00000000-0005-0000-0000-000099550000}"/>
    <cellStyle name="Style 56" xfId="21554" xr:uid="{00000000-0005-0000-0000-00009A550000}"/>
    <cellStyle name="Style 57" xfId="21555" xr:uid="{00000000-0005-0000-0000-00009B550000}"/>
    <cellStyle name="Style 58" xfId="21556" xr:uid="{00000000-0005-0000-0000-00009C550000}"/>
    <cellStyle name="Style 59" xfId="21557" xr:uid="{00000000-0005-0000-0000-00009D550000}"/>
    <cellStyle name="Style 6" xfId="21558" xr:uid="{00000000-0005-0000-0000-00009E550000}"/>
    <cellStyle name="Style 60" xfId="21559" xr:uid="{00000000-0005-0000-0000-00009F550000}"/>
    <cellStyle name="Style 61" xfId="21560" xr:uid="{00000000-0005-0000-0000-0000A0550000}"/>
    <cellStyle name="Style 62" xfId="21561" xr:uid="{00000000-0005-0000-0000-0000A1550000}"/>
    <cellStyle name="Style 63" xfId="21562" xr:uid="{00000000-0005-0000-0000-0000A2550000}"/>
    <cellStyle name="Style 64" xfId="21563" xr:uid="{00000000-0005-0000-0000-0000A3550000}"/>
    <cellStyle name="Style 65" xfId="21564" xr:uid="{00000000-0005-0000-0000-0000A4550000}"/>
    <cellStyle name="Style 66" xfId="21565" xr:uid="{00000000-0005-0000-0000-0000A5550000}"/>
    <cellStyle name="Style 67" xfId="21566" xr:uid="{00000000-0005-0000-0000-0000A6550000}"/>
    <cellStyle name="Style 68" xfId="21567" xr:uid="{00000000-0005-0000-0000-0000A7550000}"/>
    <cellStyle name="Style 69" xfId="21568" xr:uid="{00000000-0005-0000-0000-0000A8550000}"/>
    <cellStyle name="Style 7" xfId="21569" xr:uid="{00000000-0005-0000-0000-0000A9550000}"/>
    <cellStyle name="Style 70" xfId="21570" xr:uid="{00000000-0005-0000-0000-0000AA550000}"/>
    <cellStyle name="Style 71" xfId="21571" xr:uid="{00000000-0005-0000-0000-0000AB550000}"/>
    <cellStyle name="Style 72" xfId="21572" xr:uid="{00000000-0005-0000-0000-0000AC550000}"/>
    <cellStyle name="Style 73" xfId="21573" xr:uid="{00000000-0005-0000-0000-0000AD550000}"/>
    <cellStyle name="Style 74" xfId="21574" xr:uid="{00000000-0005-0000-0000-0000AE550000}"/>
    <cellStyle name="Style 75" xfId="21575" xr:uid="{00000000-0005-0000-0000-0000AF550000}"/>
    <cellStyle name="Style 76" xfId="21576" xr:uid="{00000000-0005-0000-0000-0000B0550000}"/>
    <cellStyle name="Style 77" xfId="21577" xr:uid="{00000000-0005-0000-0000-0000B1550000}"/>
    <cellStyle name="Style 78" xfId="21578" xr:uid="{00000000-0005-0000-0000-0000B2550000}"/>
    <cellStyle name="Style 79" xfId="21579" xr:uid="{00000000-0005-0000-0000-0000B3550000}"/>
    <cellStyle name="Style 8" xfId="21580" xr:uid="{00000000-0005-0000-0000-0000B4550000}"/>
    <cellStyle name="Style 80" xfId="21581" xr:uid="{00000000-0005-0000-0000-0000B5550000}"/>
    <cellStyle name="Style 81" xfId="21582" xr:uid="{00000000-0005-0000-0000-0000B6550000}"/>
    <cellStyle name="Style 82" xfId="21583" xr:uid="{00000000-0005-0000-0000-0000B7550000}"/>
    <cellStyle name="Style 83" xfId="21584" xr:uid="{00000000-0005-0000-0000-0000B8550000}"/>
    <cellStyle name="Style 84" xfId="21585" xr:uid="{00000000-0005-0000-0000-0000B9550000}"/>
    <cellStyle name="Style 85" xfId="21586" xr:uid="{00000000-0005-0000-0000-0000BA550000}"/>
    <cellStyle name="Style 86" xfId="21587" xr:uid="{00000000-0005-0000-0000-0000BB550000}"/>
    <cellStyle name="Style 87" xfId="21588" xr:uid="{00000000-0005-0000-0000-0000BC550000}"/>
    <cellStyle name="Style 88" xfId="21589" xr:uid="{00000000-0005-0000-0000-0000BD550000}"/>
    <cellStyle name="Style 89" xfId="21590" xr:uid="{00000000-0005-0000-0000-0000BE550000}"/>
    <cellStyle name="Style 9" xfId="21591" xr:uid="{00000000-0005-0000-0000-0000BF550000}"/>
    <cellStyle name="Style 90" xfId="21592" xr:uid="{00000000-0005-0000-0000-0000C0550000}"/>
    <cellStyle name="Style 91" xfId="21593" xr:uid="{00000000-0005-0000-0000-0000C1550000}"/>
    <cellStyle name="Style 92" xfId="21594" xr:uid="{00000000-0005-0000-0000-0000C2550000}"/>
    <cellStyle name="Style 93" xfId="21595" xr:uid="{00000000-0005-0000-0000-0000C3550000}"/>
    <cellStyle name="Style 94" xfId="21596" xr:uid="{00000000-0005-0000-0000-0000C4550000}"/>
    <cellStyle name="Style 95" xfId="21597" xr:uid="{00000000-0005-0000-0000-0000C5550000}"/>
    <cellStyle name="Style 96" xfId="21598" xr:uid="{00000000-0005-0000-0000-0000C6550000}"/>
    <cellStyle name="Style 97" xfId="21599" xr:uid="{00000000-0005-0000-0000-0000C7550000}"/>
    <cellStyle name="Style 98" xfId="21600" xr:uid="{00000000-0005-0000-0000-0000C8550000}"/>
    <cellStyle name="Style 99" xfId="21601" xr:uid="{00000000-0005-0000-0000-0000C9550000}"/>
    <cellStyle name="STYLE1" xfId="21602" xr:uid="{00000000-0005-0000-0000-0000CA550000}"/>
    <cellStyle name="STYLE2" xfId="21603" xr:uid="{00000000-0005-0000-0000-0000CB550000}"/>
    <cellStyle name="STYLE3" xfId="21604" xr:uid="{00000000-0005-0000-0000-0000CC550000}"/>
    <cellStyle name="STYLE4" xfId="21605" xr:uid="{00000000-0005-0000-0000-0000CD550000}"/>
    <cellStyle name="STYLE5" xfId="21606" xr:uid="{00000000-0005-0000-0000-0000CE550000}"/>
    <cellStyle name="STYLE6" xfId="21607" xr:uid="{00000000-0005-0000-0000-0000CF550000}"/>
    <cellStyle name="STYLE7" xfId="21608" xr:uid="{00000000-0005-0000-0000-0000D0550000}"/>
    <cellStyle name="STYLE8" xfId="21609" xr:uid="{00000000-0005-0000-0000-0000D1550000}"/>
    <cellStyle name="STYLE9" xfId="21610" xr:uid="{00000000-0005-0000-0000-0000D2550000}"/>
    <cellStyle name="StyleName1" xfId="21611" xr:uid="{00000000-0005-0000-0000-0000D3550000}"/>
    <cellStyle name="StyleName2" xfId="21612" xr:uid="{00000000-0005-0000-0000-0000D4550000}"/>
    <cellStyle name="StyleName3" xfId="21613" xr:uid="{00000000-0005-0000-0000-0000D5550000}"/>
    <cellStyle name="StyleName4" xfId="21614" xr:uid="{00000000-0005-0000-0000-0000D6550000}"/>
    <cellStyle name="StyleName5" xfId="21615" xr:uid="{00000000-0005-0000-0000-0000D7550000}"/>
    <cellStyle name="StyleName6" xfId="21616" xr:uid="{00000000-0005-0000-0000-0000D8550000}"/>
    <cellStyle name="StyleName7" xfId="21617" xr:uid="{00000000-0005-0000-0000-0000D9550000}"/>
    <cellStyle name="StyleName8" xfId="21618" xr:uid="{00000000-0005-0000-0000-0000DA550000}"/>
    <cellStyle name="sub" xfId="21619" xr:uid="{00000000-0005-0000-0000-0000DB550000}"/>
    <cellStyle name="sub 2" xfId="21620" xr:uid="{00000000-0005-0000-0000-0000DC550000}"/>
    <cellStyle name="SubDollar" xfId="21621" xr:uid="{00000000-0005-0000-0000-0000DD550000}"/>
    <cellStyle name="SubDollar 2" xfId="21622" xr:uid="{00000000-0005-0000-0000-0000DE550000}"/>
    <cellStyle name="SubGrowthRate" xfId="21623" xr:uid="{00000000-0005-0000-0000-0000DF550000}"/>
    <cellStyle name="subhead" xfId="21624" xr:uid="{00000000-0005-0000-0000-0000E0550000}"/>
    <cellStyle name="SubHeading 1" xfId="21625" xr:uid="{00000000-0005-0000-0000-0000E1550000}"/>
    <cellStyle name="SubHeading 2" xfId="21626" xr:uid="{00000000-0005-0000-0000-0000E2550000}"/>
    <cellStyle name="Subscribers" xfId="21627" xr:uid="{00000000-0005-0000-0000-0000E3550000}"/>
    <cellStyle name="SubScript" xfId="21628" xr:uid="{00000000-0005-0000-0000-0000E4550000}"/>
    <cellStyle name="Subtitle" xfId="21629" xr:uid="{00000000-0005-0000-0000-0000E5550000}"/>
    <cellStyle name="Subtotal" xfId="21630" xr:uid="{00000000-0005-0000-0000-0000E6550000}"/>
    <cellStyle name="SubVariable" xfId="21631" xr:uid="{00000000-0005-0000-0000-0000E7550000}"/>
    <cellStyle name="Sum" xfId="21632" xr:uid="{00000000-0005-0000-0000-0000E8550000}"/>
    <cellStyle name="Sum 2" xfId="21633" xr:uid="{00000000-0005-0000-0000-0000E9550000}"/>
    <cellStyle name="Sum 2 2" xfId="27877" xr:uid="{00000000-0005-0000-0000-0000EA550000}"/>
    <cellStyle name="Sum 3" xfId="27876" xr:uid="{00000000-0005-0000-0000-0000EB550000}"/>
    <cellStyle name="Summa" xfId="21634" xr:uid="{00000000-0005-0000-0000-0000EC550000}"/>
    <cellStyle name="Summary" xfId="21635" xr:uid="{00000000-0005-0000-0000-0000ED550000}"/>
    <cellStyle name="SuperScript" xfId="21636" xr:uid="{00000000-0005-0000-0000-0000EE550000}"/>
    <cellStyle name="symbol" xfId="21637" xr:uid="{00000000-0005-0000-0000-0000EF550000}"/>
    <cellStyle name="t" xfId="21638" xr:uid="{00000000-0005-0000-0000-0000F0550000}"/>
    <cellStyle name="t_accretion_matrix (2)" xfId="21639" xr:uid="{00000000-0005-0000-0000-0000F1550000}"/>
    <cellStyle name="t_BB_ChartsandTables_Oct05_v1" xfId="21640" xr:uid="{00000000-0005-0000-0000-0000F2550000}"/>
    <cellStyle name="t_BBChartsandTables-1(dallas)" xfId="21641" xr:uid="{00000000-0005-0000-0000-0000F3550000}"/>
    <cellStyle name="t_CompFins" xfId="21642" xr:uid="{00000000-0005-0000-0000-0000F4550000}"/>
    <cellStyle name="t_RRC BB Review Dec 2004 - Inserts" xfId="21643" xr:uid="{00000000-0005-0000-0000-0000F5550000}"/>
    <cellStyle name="t_RRC BB Review Dec 2004 - Inserts_Valerus Financial Model  - COMPANY VERSION 7-1-09 (Barcap v2)" xfId="21644" xr:uid="{00000000-0005-0000-0000-0000F6550000}"/>
    <cellStyle name="t_RRC BB Review Dec 2004 - Inserts_Valerus Financial Model  - COMPANY VERSION 7-1-09 (Barcap v28)" xfId="21645" xr:uid="{00000000-0005-0000-0000-0000F7550000}"/>
    <cellStyle name="t_RRC_Generic Charts_12-31-04" xfId="21646" xr:uid="{00000000-0005-0000-0000-0000F8550000}"/>
    <cellStyle name="t_RRC_Generic Charts_6-30-05" xfId="21647" xr:uid="{00000000-0005-0000-0000-0000F9550000}"/>
    <cellStyle name="t_Valerus Financial Model  - COMPANY VERSION 7-1-09 (Barcap v2)" xfId="21648" xr:uid="{00000000-0005-0000-0000-0000FA550000}"/>
    <cellStyle name="t_Valerus Financial Model  - COMPANY VERSION 7-1-09 (Barcap v28)" xfId="21649" xr:uid="{00000000-0005-0000-0000-0000FB550000}"/>
    <cellStyle name="Table" xfId="21650" xr:uid="{00000000-0005-0000-0000-0000FC550000}"/>
    <cellStyle name="Table Col Head" xfId="21651" xr:uid="{00000000-0005-0000-0000-0000FD550000}"/>
    <cellStyle name="Table Head" xfId="21652" xr:uid="{00000000-0005-0000-0000-0000FE550000}"/>
    <cellStyle name="Table Head Aligned" xfId="21653" xr:uid="{00000000-0005-0000-0000-0000FF550000}"/>
    <cellStyle name="Table Head Blue" xfId="21654" xr:uid="{00000000-0005-0000-0000-000000560000}"/>
    <cellStyle name="Table Head Green" xfId="21655" xr:uid="{00000000-0005-0000-0000-000001560000}"/>
    <cellStyle name="Table Head_Alamosa Bids II" xfId="21656" xr:uid="{00000000-0005-0000-0000-000002560000}"/>
    <cellStyle name="Table Sub Head" xfId="21657" xr:uid="{00000000-0005-0000-0000-000003560000}"/>
    <cellStyle name="Table Sub Heading" xfId="21658" xr:uid="{00000000-0005-0000-0000-000004560000}"/>
    <cellStyle name="Table Text" xfId="21659" xr:uid="{00000000-0005-0000-0000-000005560000}"/>
    <cellStyle name="Table Title" xfId="21660" xr:uid="{00000000-0005-0000-0000-000006560000}"/>
    <cellStyle name="Table Units" xfId="21661" xr:uid="{00000000-0005-0000-0000-000007560000}"/>
    <cellStyle name="Table Units 2" xfId="27878" xr:uid="{00000000-0005-0000-0000-000008560000}"/>
    <cellStyle name="Table_Header" xfId="21662" xr:uid="{00000000-0005-0000-0000-000009560000}"/>
    <cellStyle name="TableBase" xfId="21663" xr:uid="{00000000-0005-0000-0000-00000A560000}"/>
    <cellStyle name="TableBase 2" xfId="21664" xr:uid="{00000000-0005-0000-0000-00000B560000}"/>
    <cellStyle name="TableBase 2 2" xfId="21665" xr:uid="{00000000-0005-0000-0000-00000C560000}"/>
    <cellStyle name="TableBase 2 2 2" xfId="21666" xr:uid="{00000000-0005-0000-0000-00000D560000}"/>
    <cellStyle name="TableBase 2 2 3" xfId="21667" xr:uid="{00000000-0005-0000-0000-00000E560000}"/>
    <cellStyle name="TableBase 2 3" xfId="21668" xr:uid="{00000000-0005-0000-0000-00000F560000}"/>
    <cellStyle name="TableBase 2 4" xfId="21669" xr:uid="{00000000-0005-0000-0000-000010560000}"/>
    <cellStyle name="TableBase 3" xfId="21670" xr:uid="{00000000-0005-0000-0000-000011560000}"/>
    <cellStyle name="TableBase 3 2" xfId="21671" xr:uid="{00000000-0005-0000-0000-000012560000}"/>
    <cellStyle name="TableBase 3 3" xfId="21672" xr:uid="{00000000-0005-0000-0000-000013560000}"/>
    <cellStyle name="TableBase 4" xfId="21673" xr:uid="{00000000-0005-0000-0000-000014560000}"/>
    <cellStyle name="TableBase 5" xfId="21674" xr:uid="{00000000-0005-0000-0000-000015560000}"/>
    <cellStyle name="TableBody_sbcpac" xfId="21675" xr:uid="{00000000-0005-0000-0000-000016560000}"/>
    <cellStyle name="TableColumnHeading" xfId="21676" xr:uid="{00000000-0005-0000-0000-000017560000}"/>
    <cellStyle name="TableHead" xfId="21677" xr:uid="{00000000-0005-0000-0000-000018560000}"/>
    <cellStyle name="TableHeader" xfId="21678" xr:uid="{00000000-0005-0000-0000-000019560000}"/>
    <cellStyle name="TableName" xfId="21679" xr:uid="{00000000-0005-0000-0000-00001A560000}"/>
    <cellStyle name="TableSubTitleItalic" xfId="21680" xr:uid="{00000000-0005-0000-0000-00001B560000}"/>
    <cellStyle name="TableText" xfId="21681" xr:uid="{00000000-0005-0000-0000-00001C560000}"/>
    <cellStyle name="TableTitle" xfId="21682" xr:uid="{00000000-0005-0000-0000-00001D560000}"/>
    <cellStyle name="taples Plaza" xfId="21683" xr:uid="{00000000-0005-0000-0000-00001E560000}"/>
    <cellStyle name="tb" xfId="21684" xr:uid="{00000000-0005-0000-0000-00001F560000}"/>
    <cellStyle name="tb 2" xfId="21685" xr:uid="{00000000-0005-0000-0000-000020560000}"/>
    <cellStyle name="tbo" xfId="21686" xr:uid="{00000000-0005-0000-0000-000021560000}"/>
    <cellStyle name="tbot" xfId="21687" xr:uid="{00000000-0005-0000-0000-000022560000}"/>
    <cellStyle name="test" xfId="21688" xr:uid="{00000000-0005-0000-0000-000023560000}"/>
    <cellStyle name="Text" xfId="21689" xr:uid="{00000000-0005-0000-0000-000024560000}"/>
    <cellStyle name="Text 1" xfId="21690" xr:uid="{00000000-0005-0000-0000-000025560000}"/>
    <cellStyle name="Text Head 1" xfId="21691" xr:uid="{00000000-0005-0000-0000-000026560000}"/>
    <cellStyle name="Text Level 1" xfId="21692" xr:uid="{00000000-0005-0000-0000-000027560000}"/>
    <cellStyle name="Text Level 1 2" xfId="21693" xr:uid="{00000000-0005-0000-0000-000028560000}"/>
    <cellStyle name="Text Level 1_ar and other liab_AS - with normalisations (3)" xfId="21694" xr:uid="{00000000-0005-0000-0000-000029560000}"/>
    <cellStyle name="Text Level 2" xfId="21695" xr:uid="{00000000-0005-0000-0000-00002A560000}"/>
    <cellStyle name="Text Level 2 2" xfId="21696" xr:uid="{00000000-0005-0000-0000-00002B560000}"/>
    <cellStyle name="Text Level 2 3" xfId="21697" xr:uid="{00000000-0005-0000-0000-00002C560000}"/>
    <cellStyle name="Text Level 2 4" xfId="21698" xr:uid="{00000000-0005-0000-0000-00002D560000}"/>
    <cellStyle name="Text Level 2_ar and other liab_AS - with normalisations (3)" xfId="21699" xr:uid="{00000000-0005-0000-0000-00002E560000}"/>
    <cellStyle name="Text Level 3" xfId="21700" xr:uid="{00000000-0005-0000-0000-00002F560000}"/>
    <cellStyle name="Text Level 3 2" xfId="21701" xr:uid="{00000000-0005-0000-0000-000030560000}"/>
    <cellStyle name="Text Level 3 3" xfId="21702" xr:uid="{00000000-0005-0000-0000-000031560000}"/>
    <cellStyle name="Text Level 3_ar and other liab_AS - with normalisations (3)" xfId="21703" xr:uid="{00000000-0005-0000-0000-000032560000}"/>
    <cellStyle name="Text Level 4" xfId="21704" xr:uid="{00000000-0005-0000-0000-000033560000}"/>
    <cellStyle name="Text Level 4 2" xfId="21705" xr:uid="{00000000-0005-0000-0000-000034560000}"/>
    <cellStyle name="Text Level 4_ar and other liab_AS - with normalisations (3)" xfId="21706" xr:uid="{00000000-0005-0000-0000-000035560000}"/>
    <cellStyle name="TextBold" xfId="21707" xr:uid="{00000000-0005-0000-0000-000036560000}"/>
    <cellStyle name="TextItalic" xfId="21708" xr:uid="{00000000-0005-0000-0000-000037560000}"/>
    <cellStyle name="TextNormal" xfId="21709" xr:uid="{00000000-0005-0000-0000-000038560000}"/>
    <cellStyle name="Textrubrik" xfId="21710" xr:uid="{00000000-0005-0000-0000-000039560000}"/>
    <cellStyle name="Thousands" xfId="21711" xr:uid="{00000000-0005-0000-0000-00003A560000}"/>
    <cellStyle name="Thousands 2" xfId="21712" xr:uid="{00000000-0005-0000-0000-00003B560000}"/>
    <cellStyle name="Tick" xfId="21713" xr:uid="{00000000-0005-0000-0000-00003C560000}"/>
    <cellStyle name="Tickmark" xfId="21714" xr:uid="{00000000-0005-0000-0000-00003D560000}"/>
    <cellStyle name="Time" xfId="21715" xr:uid="{00000000-0005-0000-0000-00003E560000}"/>
    <cellStyle name="Times 10" xfId="21716" xr:uid="{00000000-0005-0000-0000-00003F560000}"/>
    <cellStyle name="Times 12" xfId="21717" xr:uid="{00000000-0005-0000-0000-000040560000}"/>
    <cellStyle name="Times New Roman" xfId="21718" xr:uid="{00000000-0005-0000-0000-000041560000}"/>
    <cellStyle name="Title - bold dutch8" xfId="21719" xr:uid="{00000000-0005-0000-0000-000042560000}"/>
    <cellStyle name="Title - Underline" xfId="21720" xr:uid="{00000000-0005-0000-0000-000043560000}"/>
    <cellStyle name="Title 2" xfId="21721" xr:uid="{00000000-0005-0000-0000-000044560000}"/>
    <cellStyle name="Title Line" xfId="21722" xr:uid="{00000000-0005-0000-0000-000045560000}"/>
    <cellStyle name="title1" xfId="21723" xr:uid="{00000000-0005-0000-0000-000046560000}"/>
    <cellStyle name="Title10" xfId="21724" xr:uid="{00000000-0005-0000-0000-000047560000}"/>
    <cellStyle name="Title2" xfId="21725" xr:uid="{00000000-0005-0000-0000-000048560000}"/>
    <cellStyle name="Title2 2" xfId="21726" xr:uid="{00000000-0005-0000-0000-000049560000}"/>
    <cellStyle name="Title8" xfId="21727" xr:uid="{00000000-0005-0000-0000-00004A560000}"/>
    <cellStyle name="Title8Left" xfId="21728" xr:uid="{00000000-0005-0000-0000-00004B560000}"/>
    <cellStyle name="TitleII" xfId="21729" xr:uid="{00000000-0005-0000-0000-00004C560000}"/>
    <cellStyle name="TitleNormal" xfId="21730" xr:uid="{00000000-0005-0000-0000-00004D560000}"/>
    <cellStyle name="Titles - Other" xfId="21731" xr:uid="{00000000-0005-0000-0000-00004E560000}"/>
    <cellStyle name="Titre" xfId="21732" xr:uid="{00000000-0005-0000-0000-00004F560000}"/>
    <cellStyle name="Título 1" xfId="21733" xr:uid="{00000000-0005-0000-0000-000050560000}"/>
    <cellStyle name="Título 2" xfId="21734" xr:uid="{00000000-0005-0000-0000-000051560000}"/>
    <cellStyle name="tn" xfId="21735" xr:uid="{00000000-0005-0000-0000-000052560000}"/>
    <cellStyle name="top" xfId="21736" xr:uid="{00000000-0005-0000-0000-000053560000}"/>
    <cellStyle name="top 2" xfId="21737" xr:uid="{00000000-0005-0000-0000-000054560000}"/>
    <cellStyle name="Top bold border" xfId="21738" xr:uid="{00000000-0005-0000-0000-000055560000}"/>
    <cellStyle name="top bottom borders" xfId="21739" xr:uid="{00000000-0005-0000-0000-000056560000}"/>
    <cellStyle name="top bottom borders 2" xfId="21740" xr:uid="{00000000-0005-0000-0000-000057560000}"/>
    <cellStyle name="top bottom borders 2 2" xfId="21741" xr:uid="{00000000-0005-0000-0000-000058560000}"/>
    <cellStyle name="top bottom borders 2 3" xfId="21742" xr:uid="{00000000-0005-0000-0000-000059560000}"/>
    <cellStyle name="top bottom borders 3" xfId="21743" xr:uid="{00000000-0005-0000-0000-00005A560000}"/>
    <cellStyle name="top bottom borders 4" xfId="21744" xr:uid="{00000000-0005-0000-0000-00005B560000}"/>
    <cellStyle name="Top Line" xfId="21745" xr:uid="{00000000-0005-0000-0000-00005C560000}"/>
    <cellStyle name="Top Line 2" xfId="21746" xr:uid="{00000000-0005-0000-0000-00005D560000}"/>
    <cellStyle name="Top Line 2 2" xfId="21747" xr:uid="{00000000-0005-0000-0000-00005E560000}"/>
    <cellStyle name="Top Line 2 2 2" xfId="21748" xr:uid="{00000000-0005-0000-0000-00005F560000}"/>
    <cellStyle name="Top Line 2 2 3" xfId="21749" xr:uid="{00000000-0005-0000-0000-000060560000}"/>
    <cellStyle name="Top Line 2 3" xfId="21750" xr:uid="{00000000-0005-0000-0000-000061560000}"/>
    <cellStyle name="Top Line 2 4" xfId="21751" xr:uid="{00000000-0005-0000-0000-000062560000}"/>
    <cellStyle name="Top Line 3" xfId="21752" xr:uid="{00000000-0005-0000-0000-000063560000}"/>
    <cellStyle name="Top Line 3 2" xfId="21753" xr:uid="{00000000-0005-0000-0000-000064560000}"/>
    <cellStyle name="Top Line 3 3" xfId="21754" xr:uid="{00000000-0005-0000-0000-000065560000}"/>
    <cellStyle name="Top Line 4" xfId="21755" xr:uid="{00000000-0005-0000-0000-000066560000}"/>
    <cellStyle name="Top Line 5" xfId="21756" xr:uid="{00000000-0005-0000-0000-000067560000}"/>
    <cellStyle name="Top single border" xfId="21757" xr:uid="{00000000-0005-0000-0000-000068560000}"/>
    <cellStyle name="Top single border 2" xfId="21758" xr:uid="{00000000-0005-0000-0000-000069560000}"/>
    <cellStyle name="Top single border 2 2" xfId="21759" xr:uid="{00000000-0005-0000-0000-00006A560000}"/>
    <cellStyle name="Top single border 2 2 2" xfId="21760" xr:uid="{00000000-0005-0000-0000-00006B560000}"/>
    <cellStyle name="Top single border 2 2 3" xfId="21761" xr:uid="{00000000-0005-0000-0000-00006C560000}"/>
    <cellStyle name="Top single border 2 3" xfId="21762" xr:uid="{00000000-0005-0000-0000-00006D560000}"/>
    <cellStyle name="Top single border 2 4" xfId="21763" xr:uid="{00000000-0005-0000-0000-00006E560000}"/>
    <cellStyle name="Top single border 3" xfId="21764" xr:uid="{00000000-0005-0000-0000-00006F560000}"/>
    <cellStyle name="Top single border 3 2" xfId="21765" xr:uid="{00000000-0005-0000-0000-000070560000}"/>
    <cellStyle name="Top single border 3 3" xfId="21766" xr:uid="{00000000-0005-0000-0000-000071560000}"/>
    <cellStyle name="Top single border 4" xfId="21767" xr:uid="{00000000-0005-0000-0000-000072560000}"/>
    <cellStyle name="Top single border 5" xfId="21768" xr:uid="{00000000-0005-0000-0000-000073560000}"/>
    <cellStyle name="top]" xfId="21769" xr:uid="{00000000-0005-0000-0000-000074560000}"/>
    <cellStyle name="Top_Border" xfId="21770" xr:uid="{00000000-0005-0000-0000-000075560000}"/>
    <cellStyle name="topbot" xfId="21771" xr:uid="{00000000-0005-0000-0000-000076560000}"/>
    <cellStyle name="topbot 2" xfId="21772" xr:uid="{00000000-0005-0000-0000-000077560000}"/>
    <cellStyle name="TopGrey" xfId="21773" xr:uid="{00000000-0005-0000-0000-000078560000}"/>
    <cellStyle name="TopGrey 2" xfId="27879" xr:uid="{00000000-0005-0000-0000-000079560000}"/>
    <cellStyle name="TopGrey 2 2" xfId="27963" xr:uid="{00000000-0005-0000-0000-00007A560000}"/>
    <cellStyle name="TopGrey 2 2 2" xfId="28175" xr:uid="{00000000-0005-0000-0000-00007B560000}"/>
    <cellStyle name="TopGrey 2 3" xfId="28196" xr:uid="{00000000-0005-0000-0000-00007C560000}"/>
    <cellStyle name="Topline" xfId="21774" xr:uid="{00000000-0005-0000-0000-00007D560000}"/>
    <cellStyle name="Topline 2" xfId="21775" xr:uid="{00000000-0005-0000-0000-00007E560000}"/>
    <cellStyle name="Topline 2 2" xfId="21776" xr:uid="{00000000-0005-0000-0000-00007F560000}"/>
    <cellStyle name="Topline 2 2 2" xfId="21777" xr:uid="{00000000-0005-0000-0000-000080560000}"/>
    <cellStyle name="Topline 2 2 3" xfId="21778" xr:uid="{00000000-0005-0000-0000-000081560000}"/>
    <cellStyle name="Topline 2 3" xfId="21779" xr:uid="{00000000-0005-0000-0000-000082560000}"/>
    <cellStyle name="Topline 2 4" xfId="21780" xr:uid="{00000000-0005-0000-0000-000083560000}"/>
    <cellStyle name="Topline 3" xfId="21781" xr:uid="{00000000-0005-0000-0000-000084560000}"/>
    <cellStyle name="Topline 3 2" xfId="21782" xr:uid="{00000000-0005-0000-0000-000085560000}"/>
    <cellStyle name="Topline 3 3" xfId="21783" xr:uid="{00000000-0005-0000-0000-000086560000}"/>
    <cellStyle name="Topline 4" xfId="21784" xr:uid="{00000000-0005-0000-0000-000087560000}"/>
    <cellStyle name="Topline 5" xfId="21785" xr:uid="{00000000-0005-0000-0000-000088560000}"/>
    <cellStyle name="Total - Style5" xfId="21786" xr:uid="{00000000-0005-0000-0000-000089560000}"/>
    <cellStyle name="Total 10" xfId="21787" xr:uid="{00000000-0005-0000-0000-00008A560000}"/>
    <cellStyle name="Total 10 2" xfId="21788" xr:uid="{00000000-0005-0000-0000-00008B560000}"/>
    <cellStyle name="Total 11" xfId="21789" xr:uid="{00000000-0005-0000-0000-00008C560000}"/>
    <cellStyle name="Total 11 2" xfId="21790" xr:uid="{00000000-0005-0000-0000-00008D560000}"/>
    <cellStyle name="Total 12" xfId="21791" xr:uid="{00000000-0005-0000-0000-00008E560000}"/>
    <cellStyle name="Total 12 2" xfId="21792" xr:uid="{00000000-0005-0000-0000-00008F560000}"/>
    <cellStyle name="Total 13" xfId="21793" xr:uid="{00000000-0005-0000-0000-000090560000}"/>
    <cellStyle name="Total 13 2" xfId="21794" xr:uid="{00000000-0005-0000-0000-000091560000}"/>
    <cellStyle name="Total 14" xfId="21795" xr:uid="{00000000-0005-0000-0000-000092560000}"/>
    <cellStyle name="Total 14 2" xfId="21796" xr:uid="{00000000-0005-0000-0000-000093560000}"/>
    <cellStyle name="Total 15" xfId="21797" xr:uid="{00000000-0005-0000-0000-000094560000}"/>
    <cellStyle name="Total 15 2" xfId="21798" xr:uid="{00000000-0005-0000-0000-000095560000}"/>
    <cellStyle name="Total 16" xfId="21799" xr:uid="{00000000-0005-0000-0000-000096560000}"/>
    <cellStyle name="Total 16 2" xfId="21800" xr:uid="{00000000-0005-0000-0000-000097560000}"/>
    <cellStyle name="Total 17" xfId="21801" xr:uid="{00000000-0005-0000-0000-000098560000}"/>
    <cellStyle name="Total 17 2" xfId="21802" xr:uid="{00000000-0005-0000-0000-000099560000}"/>
    <cellStyle name="Total 18" xfId="21803" xr:uid="{00000000-0005-0000-0000-00009A560000}"/>
    <cellStyle name="Total 18 2" xfId="21804" xr:uid="{00000000-0005-0000-0000-00009B560000}"/>
    <cellStyle name="Total 19" xfId="21805" xr:uid="{00000000-0005-0000-0000-00009C560000}"/>
    <cellStyle name="Total 19 2" xfId="21806" xr:uid="{00000000-0005-0000-0000-00009D560000}"/>
    <cellStyle name="Total 2" xfId="21807" xr:uid="{00000000-0005-0000-0000-00009E560000}"/>
    <cellStyle name="Total 2 2" xfId="21808" xr:uid="{00000000-0005-0000-0000-00009F560000}"/>
    <cellStyle name="Total 20" xfId="21809" xr:uid="{00000000-0005-0000-0000-0000A0560000}"/>
    <cellStyle name="Total 20 2" xfId="21810" xr:uid="{00000000-0005-0000-0000-0000A1560000}"/>
    <cellStyle name="Total 21" xfId="21811" xr:uid="{00000000-0005-0000-0000-0000A2560000}"/>
    <cellStyle name="Total 21 2" xfId="21812" xr:uid="{00000000-0005-0000-0000-0000A3560000}"/>
    <cellStyle name="Total 22" xfId="21813" xr:uid="{00000000-0005-0000-0000-0000A4560000}"/>
    <cellStyle name="Total 22 2" xfId="21814" xr:uid="{00000000-0005-0000-0000-0000A5560000}"/>
    <cellStyle name="Total 23" xfId="21815" xr:uid="{00000000-0005-0000-0000-0000A6560000}"/>
    <cellStyle name="Total 23 2" xfId="21816" xr:uid="{00000000-0005-0000-0000-0000A7560000}"/>
    <cellStyle name="Total 24" xfId="21817" xr:uid="{00000000-0005-0000-0000-0000A8560000}"/>
    <cellStyle name="Total 24 2" xfId="21818" xr:uid="{00000000-0005-0000-0000-0000A9560000}"/>
    <cellStyle name="Total 25" xfId="21819" xr:uid="{00000000-0005-0000-0000-0000AA560000}"/>
    <cellStyle name="Total 25 2" xfId="21820" xr:uid="{00000000-0005-0000-0000-0000AB560000}"/>
    <cellStyle name="Total 26" xfId="21821" xr:uid="{00000000-0005-0000-0000-0000AC560000}"/>
    <cellStyle name="Total 26 2" xfId="21822" xr:uid="{00000000-0005-0000-0000-0000AD560000}"/>
    <cellStyle name="Total 27" xfId="21823" xr:uid="{00000000-0005-0000-0000-0000AE560000}"/>
    <cellStyle name="Total 27 2" xfId="21824" xr:uid="{00000000-0005-0000-0000-0000AF560000}"/>
    <cellStyle name="Total 28" xfId="21825" xr:uid="{00000000-0005-0000-0000-0000B0560000}"/>
    <cellStyle name="Total 28 2" xfId="21826" xr:uid="{00000000-0005-0000-0000-0000B1560000}"/>
    <cellStyle name="Total 29" xfId="21827" xr:uid="{00000000-0005-0000-0000-0000B2560000}"/>
    <cellStyle name="Total 29 2" xfId="21828" xr:uid="{00000000-0005-0000-0000-0000B3560000}"/>
    <cellStyle name="Total 3" xfId="21829" xr:uid="{00000000-0005-0000-0000-0000B4560000}"/>
    <cellStyle name="Total 3 2" xfId="21830" xr:uid="{00000000-0005-0000-0000-0000B5560000}"/>
    <cellStyle name="Total 30" xfId="21831" xr:uid="{00000000-0005-0000-0000-0000B6560000}"/>
    <cellStyle name="Total 30 2" xfId="21832" xr:uid="{00000000-0005-0000-0000-0000B7560000}"/>
    <cellStyle name="Total 31" xfId="21833" xr:uid="{00000000-0005-0000-0000-0000B8560000}"/>
    <cellStyle name="Total 31 2" xfId="21834" xr:uid="{00000000-0005-0000-0000-0000B9560000}"/>
    <cellStyle name="Total 32" xfId="21835" xr:uid="{00000000-0005-0000-0000-0000BA560000}"/>
    <cellStyle name="Total 32 2" xfId="21836" xr:uid="{00000000-0005-0000-0000-0000BB560000}"/>
    <cellStyle name="Total 33" xfId="21837" xr:uid="{00000000-0005-0000-0000-0000BC560000}"/>
    <cellStyle name="Total 33 2" xfId="21838" xr:uid="{00000000-0005-0000-0000-0000BD560000}"/>
    <cellStyle name="Total 34" xfId="21839" xr:uid="{00000000-0005-0000-0000-0000BE560000}"/>
    <cellStyle name="Total 34 2" xfId="21840" xr:uid="{00000000-0005-0000-0000-0000BF560000}"/>
    <cellStyle name="Total 35" xfId="21841" xr:uid="{00000000-0005-0000-0000-0000C0560000}"/>
    <cellStyle name="Total 35 2" xfId="21842" xr:uid="{00000000-0005-0000-0000-0000C1560000}"/>
    <cellStyle name="Total 36" xfId="21843" xr:uid="{00000000-0005-0000-0000-0000C2560000}"/>
    <cellStyle name="Total 36 2" xfId="21844" xr:uid="{00000000-0005-0000-0000-0000C3560000}"/>
    <cellStyle name="Total 37" xfId="21845" xr:uid="{00000000-0005-0000-0000-0000C4560000}"/>
    <cellStyle name="Total 37 2" xfId="21846" xr:uid="{00000000-0005-0000-0000-0000C5560000}"/>
    <cellStyle name="Total 38" xfId="21847" xr:uid="{00000000-0005-0000-0000-0000C6560000}"/>
    <cellStyle name="Total 38 2" xfId="21848" xr:uid="{00000000-0005-0000-0000-0000C7560000}"/>
    <cellStyle name="Total 39" xfId="21849" xr:uid="{00000000-0005-0000-0000-0000C8560000}"/>
    <cellStyle name="Total 39 2" xfId="21850" xr:uid="{00000000-0005-0000-0000-0000C9560000}"/>
    <cellStyle name="Total 4" xfId="21851" xr:uid="{00000000-0005-0000-0000-0000CA560000}"/>
    <cellStyle name="Total 4 2" xfId="21852" xr:uid="{00000000-0005-0000-0000-0000CB560000}"/>
    <cellStyle name="Total 40" xfId="21853" xr:uid="{00000000-0005-0000-0000-0000CC560000}"/>
    <cellStyle name="Total 40 2" xfId="21854" xr:uid="{00000000-0005-0000-0000-0000CD560000}"/>
    <cellStyle name="Total 41" xfId="21855" xr:uid="{00000000-0005-0000-0000-0000CE560000}"/>
    <cellStyle name="Total 41 2" xfId="21856" xr:uid="{00000000-0005-0000-0000-0000CF560000}"/>
    <cellStyle name="Total 42" xfId="21857" xr:uid="{00000000-0005-0000-0000-0000D0560000}"/>
    <cellStyle name="Total 42 2" xfId="21858" xr:uid="{00000000-0005-0000-0000-0000D1560000}"/>
    <cellStyle name="Total 43" xfId="21859" xr:uid="{00000000-0005-0000-0000-0000D2560000}"/>
    <cellStyle name="Total 43 2" xfId="21860" xr:uid="{00000000-0005-0000-0000-0000D3560000}"/>
    <cellStyle name="Total 44" xfId="21861" xr:uid="{00000000-0005-0000-0000-0000D4560000}"/>
    <cellStyle name="Total 44 2" xfId="21862" xr:uid="{00000000-0005-0000-0000-0000D5560000}"/>
    <cellStyle name="Total 45" xfId="21863" xr:uid="{00000000-0005-0000-0000-0000D6560000}"/>
    <cellStyle name="Total 45 2" xfId="21864" xr:uid="{00000000-0005-0000-0000-0000D7560000}"/>
    <cellStyle name="Total 46" xfId="21865" xr:uid="{00000000-0005-0000-0000-0000D8560000}"/>
    <cellStyle name="Total 46 2" xfId="21866" xr:uid="{00000000-0005-0000-0000-0000D9560000}"/>
    <cellStyle name="Total 47" xfId="21867" xr:uid="{00000000-0005-0000-0000-0000DA560000}"/>
    <cellStyle name="Total 47 2" xfId="21868" xr:uid="{00000000-0005-0000-0000-0000DB560000}"/>
    <cellStyle name="Total 48" xfId="21869" xr:uid="{00000000-0005-0000-0000-0000DC560000}"/>
    <cellStyle name="Total 48 2" xfId="21870" xr:uid="{00000000-0005-0000-0000-0000DD560000}"/>
    <cellStyle name="Total 49" xfId="21871" xr:uid="{00000000-0005-0000-0000-0000DE560000}"/>
    <cellStyle name="Total 49 2" xfId="21872" xr:uid="{00000000-0005-0000-0000-0000DF560000}"/>
    <cellStyle name="Total 5" xfId="21873" xr:uid="{00000000-0005-0000-0000-0000E0560000}"/>
    <cellStyle name="Total 5 2" xfId="21874" xr:uid="{00000000-0005-0000-0000-0000E1560000}"/>
    <cellStyle name="Total 50" xfId="21875" xr:uid="{00000000-0005-0000-0000-0000E2560000}"/>
    <cellStyle name="Total 50 2" xfId="21876" xr:uid="{00000000-0005-0000-0000-0000E3560000}"/>
    <cellStyle name="Total 51" xfId="21877" xr:uid="{00000000-0005-0000-0000-0000E4560000}"/>
    <cellStyle name="Total 51 2" xfId="21878" xr:uid="{00000000-0005-0000-0000-0000E5560000}"/>
    <cellStyle name="Total 52" xfId="21879" xr:uid="{00000000-0005-0000-0000-0000E6560000}"/>
    <cellStyle name="Total 52 2" xfId="21880" xr:uid="{00000000-0005-0000-0000-0000E7560000}"/>
    <cellStyle name="Total 53" xfId="21881" xr:uid="{00000000-0005-0000-0000-0000E8560000}"/>
    <cellStyle name="Total 53 2" xfId="21882" xr:uid="{00000000-0005-0000-0000-0000E9560000}"/>
    <cellStyle name="Total 54" xfId="21883" xr:uid="{00000000-0005-0000-0000-0000EA560000}"/>
    <cellStyle name="Total 54 2" xfId="21884" xr:uid="{00000000-0005-0000-0000-0000EB560000}"/>
    <cellStyle name="Total 55" xfId="21885" xr:uid="{00000000-0005-0000-0000-0000EC560000}"/>
    <cellStyle name="Total 55 2" xfId="21886" xr:uid="{00000000-0005-0000-0000-0000ED560000}"/>
    <cellStyle name="Total 56" xfId="21887" xr:uid="{00000000-0005-0000-0000-0000EE560000}"/>
    <cellStyle name="Total 56 2" xfId="21888" xr:uid="{00000000-0005-0000-0000-0000EF560000}"/>
    <cellStyle name="Total 57" xfId="21889" xr:uid="{00000000-0005-0000-0000-0000F0560000}"/>
    <cellStyle name="Total 57 2" xfId="21890" xr:uid="{00000000-0005-0000-0000-0000F1560000}"/>
    <cellStyle name="Total 58" xfId="21891" xr:uid="{00000000-0005-0000-0000-0000F2560000}"/>
    <cellStyle name="Total 58 2" xfId="21892" xr:uid="{00000000-0005-0000-0000-0000F3560000}"/>
    <cellStyle name="Total 59" xfId="21893" xr:uid="{00000000-0005-0000-0000-0000F4560000}"/>
    <cellStyle name="Total 59 2" xfId="21894" xr:uid="{00000000-0005-0000-0000-0000F5560000}"/>
    <cellStyle name="Total 6" xfId="21895" xr:uid="{00000000-0005-0000-0000-0000F6560000}"/>
    <cellStyle name="Total 6 2" xfId="21896" xr:uid="{00000000-0005-0000-0000-0000F7560000}"/>
    <cellStyle name="Total 60" xfId="21897" xr:uid="{00000000-0005-0000-0000-0000F8560000}"/>
    <cellStyle name="Total 60 2" xfId="21898" xr:uid="{00000000-0005-0000-0000-0000F9560000}"/>
    <cellStyle name="Total 61" xfId="21899" xr:uid="{00000000-0005-0000-0000-0000FA560000}"/>
    <cellStyle name="Total 61 2" xfId="21900" xr:uid="{00000000-0005-0000-0000-0000FB560000}"/>
    <cellStyle name="Total 62" xfId="21901" xr:uid="{00000000-0005-0000-0000-0000FC560000}"/>
    <cellStyle name="Total 62 2" xfId="21902" xr:uid="{00000000-0005-0000-0000-0000FD560000}"/>
    <cellStyle name="Total 63" xfId="21903" xr:uid="{00000000-0005-0000-0000-0000FE560000}"/>
    <cellStyle name="Total 63 2" xfId="21904" xr:uid="{00000000-0005-0000-0000-0000FF560000}"/>
    <cellStyle name="Total 64" xfId="21905" xr:uid="{00000000-0005-0000-0000-000000570000}"/>
    <cellStyle name="Total 64 2" xfId="21906" xr:uid="{00000000-0005-0000-0000-000001570000}"/>
    <cellStyle name="Total 65" xfId="21907" xr:uid="{00000000-0005-0000-0000-000002570000}"/>
    <cellStyle name="Total 65 2" xfId="21908" xr:uid="{00000000-0005-0000-0000-000003570000}"/>
    <cellStyle name="Total 66" xfId="21909" xr:uid="{00000000-0005-0000-0000-000004570000}"/>
    <cellStyle name="Total 66 2" xfId="21910" xr:uid="{00000000-0005-0000-0000-000005570000}"/>
    <cellStyle name="Total 67" xfId="21911" xr:uid="{00000000-0005-0000-0000-000006570000}"/>
    <cellStyle name="Total 67 2" xfId="21912" xr:uid="{00000000-0005-0000-0000-000007570000}"/>
    <cellStyle name="Total 68" xfId="21913" xr:uid="{00000000-0005-0000-0000-000008570000}"/>
    <cellStyle name="Total 68 2" xfId="21914" xr:uid="{00000000-0005-0000-0000-000009570000}"/>
    <cellStyle name="Total 69" xfId="21915" xr:uid="{00000000-0005-0000-0000-00000A570000}"/>
    <cellStyle name="Total 69 2" xfId="21916" xr:uid="{00000000-0005-0000-0000-00000B570000}"/>
    <cellStyle name="Total 7" xfId="21917" xr:uid="{00000000-0005-0000-0000-00000C570000}"/>
    <cellStyle name="Total 7 2" xfId="21918" xr:uid="{00000000-0005-0000-0000-00000D570000}"/>
    <cellStyle name="Total 70" xfId="21919" xr:uid="{00000000-0005-0000-0000-00000E570000}"/>
    <cellStyle name="Total 70 2" xfId="21920" xr:uid="{00000000-0005-0000-0000-00000F570000}"/>
    <cellStyle name="Total 71" xfId="21921" xr:uid="{00000000-0005-0000-0000-000010570000}"/>
    <cellStyle name="Total 71 2" xfId="21922" xr:uid="{00000000-0005-0000-0000-000011570000}"/>
    <cellStyle name="Total 72" xfId="21923" xr:uid="{00000000-0005-0000-0000-000012570000}"/>
    <cellStyle name="Total 72 2" xfId="21924" xr:uid="{00000000-0005-0000-0000-000013570000}"/>
    <cellStyle name="Total 73" xfId="21925" xr:uid="{00000000-0005-0000-0000-000014570000}"/>
    <cellStyle name="Total 73 2" xfId="21926" xr:uid="{00000000-0005-0000-0000-000015570000}"/>
    <cellStyle name="Total 74" xfId="21927" xr:uid="{00000000-0005-0000-0000-000016570000}"/>
    <cellStyle name="Total 74 2" xfId="21928" xr:uid="{00000000-0005-0000-0000-000017570000}"/>
    <cellStyle name="Total 75" xfId="21929" xr:uid="{00000000-0005-0000-0000-000018570000}"/>
    <cellStyle name="Total 75 2" xfId="21930" xr:uid="{00000000-0005-0000-0000-000019570000}"/>
    <cellStyle name="Total 76" xfId="21931" xr:uid="{00000000-0005-0000-0000-00001A570000}"/>
    <cellStyle name="Total 76 2" xfId="21932" xr:uid="{00000000-0005-0000-0000-00001B570000}"/>
    <cellStyle name="Total 77" xfId="21933" xr:uid="{00000000-0005-0000-0000-00001C570000}"/>
    <cellStyle name="Total 77 2" xfId="21934" xr:uid="{00000000-0005-0000-0000-00001D570000}"/>
    <cellStyle name="Total 78" xfId="21935" xr:uid="{00000000-0005-0000-0000-00001E570000}"/>
    <cellStyle name="Total 78 2" xfId="21936" xr:uid="{00000000-0005-0000-0000-00001F570000}"/>
    <cellStyle name="Total 79" xfId="21937" xr:uid="{00000000-0005-0000-0000-000020570000}"/>
    <cellStyle name="Total 79 2" xfId="21938" xr:uid="{00000000-0005-0000-0000-000021570000}"/>
    <cellStyle name="Total 8" xfId="21939" xr:uid="{00000000-0005-0000-0000-000022570000}"/>
    <cellStyle name="Total 8 2" xfId="21940" xr:uid="{00000000-0005-0000-0000-000023570000}"/>
    <cellStyle name="Total 9" xfId="21941" xr:uid="{00000000-0005-0000-0000-000024570000}"/>
    <cellStyle name="Total 9 2" xfId="21942" xr:uid="{00000000-0005-0000-0000-000025570000}"/>
    <cellStyle name="Total Row" xfId="21943" xr:uid="{00000000-0005-0000-0000-000026570000}"/>
    <cellStyle name="ttop" xfId="21944" xr:uid="{00000000-0005-0000-0000-000027570000}"/>
    <cellStyle name="tyre" xfId="21945" xr:uid="{00000000-0005-0000-0000-000028570000}"/>
    <cellStyle name="u" xfId="21946" xr:uid="{00000000-0005-0000-0000-000029570000}"/>
    <cellStyle name="u_Matrix" xfId="21947" xr:uid="{00000000-0005-0000-0000-00002A570000}"/>
    <cellStyle name="u_Module1 (2)" xfId="21948" xr:uid="{00000000-0005-0000-0000-00002B570000}"/>
    <cellStyle name="u2" xfId="21949" xr:uid="{00000000-0005-0000-0000-00002C570000}"/>
    <cellStyle name="underline 1 decimal" xfId="21950" xr:uid="{00000000-0005-0000-0000-00002D570000}"/>
    <cellStyle name="underline 2 decimals" xfId="21951" xr:uid="{00000000-0005-0000-0000-00002E570000}"/>
    <cellStyle name="underline flush left" xfId="21952" xr:uid="{00000000-0005-0000-0000-00002F570000}"/>
    <cellStyle name="Underline line items" xfId="21953" xr:uid="{00000000-0005-0000-0000-000030570000}"/>
    <cellStyle name="underline no decimals" xfId="21954" xr:uid="{00000000-0005-0000-0000-000031570000}"/>
    <cellStyle name="Underline_Double" xfId="21955" xr:uid="{00000000-0005-0000-0000-000032570000}"/>
    <cellStyle name="UnderlineNormal" xfId="21956" xr:uid="{00000000-0005-0000-0000-000033570000}"/>
    <cellStyle name="Unprot" xfId="21957" xr:uid="{00000000-0005-0000-0000-000034570000}"/>
    <cellStyle name="Unprot$" xfId="21958" xr:uid="{00000000-0005-0000-0000-000035570000}"/>
    <cellStyle name="Unprot_CurrencySKorea" xfId="21959" xr:uid="{00000000-0005-0000-0000-000036570000}"/>
    <cellStyle name="Unprotect" xfId="21960" xr:uid="{00000000-0005-0000-0000-000037570000}"/>
    <cellStyle name="UnprotectCellStyle" xfId="21961" xr:uid="{00000000-0005-0000-0000-000038570000}"/>
    <cellStyle name="Upload Only" xfId="21962" xr:uid="{00000000-0005-0000-0000-000039570000}"/>
    <cellStyle name="Upload Only 2" xfId="21963" xr:uid="{00000000-0005-0000-0000-00003A570000}"/>
    <cellStyle name="UploadThisRowValue" xfId="21964" xr:uid="{00000000-0005-0000-0000-00003B570000}"/>
    <cellStyle name="User_Defined_A" xfId="21965" xr:uid="{00000000-0005-0000-0000-00003C570000}"/>
    <cellStyle name="uy" xfId="21966" xr:uid="{00000000-0005-0000-0000-00003D570000}"/>
    <cellStyle name="v" xfId="21967" xr:uid="{00000000-0005-0000-0000-00003E570000}"/>
    <cellStyle name="v_ATD Valuation - 3Q10 v30" xfId="21968" xr:uid="{00000000-0005-0000-0000-00003F570000}"/>
    <cellStyle name="v_ATD Valuation - 4Q10 v7 FOP only" xfId="21969" xr:uid="{00000000-0005-0000-0000-000040570000}"/>
    <cellStyle name="v_Book1" xfId="21970" xr:uid="{00000000-0005-0000-0000-000041570000}"/>
    <cellStyle name="v_Lenta Valuation - 4Q10" xfId="21971" xr:uid="{00000000-0005-0000-0000-000042570000}"/>
    <cellStyle name="Validation" xfId="21972" xr:uid="{00000000-0005-0000-0000-000043570000}"/>
    <cellStyle name="Valuta (0)_A" xfId="21973" xr:uid="{00000000-0005-0000-0000-000044570000}"/>
    <cellStyle name="Valuta_A" xfId="21974" xr:uid="{00000000-0005-0000-0000-000045570000}"/>
    <cellStyle name="w" xfId="21975" xr:uid="{00000000-0005-0000-0000-000046570000}"/>
    <cellStyle name="Walutowy [0]_Arkusz1" xfId="21976" xr:uid="{00000000-0005-0000-0000-000047570000}"/>
    <cellStyle name="Walutowy_Arkusz1" xfId="21977" xr:uid="{00000000-0005-0000-0000-000048570000}"/>
    <cellStyle name="Warning Text 10" xfId="21978" xr:uid="{00000000-0005-0000-0000-000049570000}"/>
    <cellStyle name="Warning Text 11" xfId="21979" xr:uid="{00000000-0005-0000-0000-00004A570000}"/>
    <cellStyle name="Warning Text 12" xfId="21980" xr:uid="{00000000-0005-0000-0000-00004B570000}"/>
    <cellStyle name="Warning Text 13" xfId="21981" xr:uid="{00000000-0005-0000-0000-00004C570000}"/>
    <cellStyle name="Warning Text 14" xfId="21982" xr:uid="{00000000-0005-0000-0000-00004D570000}"/>
    <cellStyle name="Warning Text 15" xfId="21983" xr:uid="{00000000-0005-0000-0000-00004E570000}"/>
    <cellStyle name="Warning Text 16" xfId="21984" xr:uid="{00000000-0005-0000-0000-00004F570000}"/>
    <cellStyle name="Warning Text 17" xfId="21985" xr:uid="{00000000-0005-0000-0000-000050570000}"/>
    <cellStyle name="Warning Text 18" xfId="21986" xr:uid="{00000000-0005-0000-0000-000051570000}"/>
    <cellStyle name="Warning Text 19" xfId="21987" xr:uid="{00000000-0005-0000-0000-000052570000}"/>
    <cellStyle name="Warning Text 2" xfId="21988" xr:uid="{00000000-0005-0000-0000-000053570000}"/>
    <cellStyle name="Warning Text 20" xfId="21989" xr:uid="{00000000-0005-0000-0000-000054570000}"/>
    <cellStyle name="Warning Text 21" xfId="21990" xr:uid="{00000000-0005-0000-0000-000055570000}"/>
    <cellStyle name="Warning Text 22" xfId="21991" xr:uid="{00000000-0005-0000-0000-000056570000}"/>
    <cellStyle name="Warning Text 23" xfId="21992" xr:uid="{00000000-0005-0000-0000-000057570000}"/>
    <cellStyle name="Warning Text 24" xfId="21993" xr:uid="{00000000-0005-0000-0000-000058570000}"/>
    <cellStyle name="Warning Text 25" xfId="21994" xr:uid="{00000000-0005-0000-0000-000059570000}"/>
    <cellStyle name="Warning Text 26" xfId="21995" xr:uid="{00000000-0005-0000-0000-00005A570000}"/>
    <cellStyle name="Warning Text 27" xfId="21996" xr:uid="{00000000-0005-0000-0000-00005B570000}"/>
    <cellStyle name="Warning Text 28" xfId="21997" xr:uid="{00000000-0005-0000-0000-00005C570000}"/>
    <cellStyle name="Warning Text 29" xfId="21998" xr:uid="{00000000-0005-0000-0000-00005D570000}"/>
    <cellStyle name="Warning Text 3" xfId="21999" xr:uid="{00000000-0005-0000-0000-00005E570000}"/>
    <cellStyle name="Warning Text 30" xfId="22000" xr:uid="{00000000-0005-0000-0000-00005F570000}"/>
    <cellStyle name="Warning Text 31" xfId="22001" xr:uid="{00000000-0005-0000-0000-000060570000}"/>
    <cellStyle name="Warning Text 32" xfId="22002" xr:uid="{00000000-0005-0000-0000-000061570000}"/>
    <cellStyle name="Warning Text 33" xfId="22003" xr:uid="{00000000-0005-0000-0000-000062570000}"/>
    <cellStyle name="Warning Text 34" xfId="22004" xr:uid="{00000000-0005-0000-0000-000063570000}"/>
    <cellStyle name="Warning Text 35" xfId="22005" xr:uid="{00000000-0005-0000-0000-000064570000}"/>
    <cellStyle name="Warning Text 36" xfId="22006" xr:uid="{00000000-0005-0000-0000-000065570000}"/>
    <cellStyle name="Warning Text 37" xfId="22007" xr:uid="{00000000-0005-0000-0000-000066570000}"/>
    <cellStyle name="Warning Text 38" xfId="22008" xr:uid="{00000000-0005-0000-0000-000067570000}"/>
    <cellStyle name="Warning Text 39" xfId="22009" xr:uid="{00000000-0005-0000-0000-000068570000}"/>
    <cellStyle name="Warning Text 4" xfId="22010" xr:uid="{00000000-0005-0000-0000-000069570000}"/>
    <cellStyle name="Warning Text 40" xfId="22011" xr:uid="{00000000-0005-0000-0000-00006A570000}"/>
    <cellStyle name="Warning Text 41" xfId="22012" xr:uid="{00000000-0005-0000-0000-00006B570000}"/>
    <cellStyle name="Warning Text 42" xfId="22013" xr:uid="{00000000-0005-0000-0000-00006C570000}"/>
    <cellStyle name="Warning Text 43" xfId="22014" xr:uid="{00000000-0005-0000-0000-00006D570000}"/>
    <cellStyle name="Warning Text 44" xfId="22015" xr:uid="{00000000-0005-0000-0000-00006E570000}"/>
    <cellStyle name="Warning Text 45" xfId="22016" xr:uid="{00000000-0005-0000-0000-00006F570000}"/>
    <cellStyle name="Warning Text 46" xfId="22017" xr:uid="{00000000-0005-0000-0000-000070570000}"/>
    <cellStyle name="Warning Text 47" xfId="22018" xr:uid="{00000000-0005-0000-0000-000071570000}"/>
    <cellStyle name="Warning Text 48" xfId="22019" xr:uid="{00000000-0005-0000-0000-000072570000}"/>
    <cellStyle name="Warning Text 49" xfId="22020" xr:uid="{00000000-0005-0000-0000-000073570000}"/>
    <cellStyle name="Warning Text 5" xfId="22021" xr:uid="{00000000-0005-0000-0000-000074570000}"/>
    <cellStyle name="Warning Text 50" xfId="22022" xr:uid="{00000000-0005-0000-0000-000075570000}"/>
    <cellStyle name="Warning Text 51" xfId="22023" xr:uid="{00000000-0005-0000-0000-000076570000}"/>
    <cellStyle name="Warning Text 52" xfId="22024" xr:uid="{00000000-0005-0000-0000-000077570000}"/>
    <cellStyle name="Warning Text 53" xfId="22025" xr:uid="{00000000-0005-0000-0000-000078570000}"/>
    <cellStyle name="Warning Text 54" xfId="22026" xr:uid="{00000000-0005-0000-0000-000079570000}"/>
    <cellStyle name="Warning Text 55" xfId="22027" xr:uid="{00000000-0005-0000-0000-00007A570000}"/>
    <cellStyle name="Warning Text 56" xfId="22028" xr:uid="{00000000-0005-0000-0000-00007B570000}"/>
    <cellStyle name="Warning Text 57" xfId="22029" xr:uid="{00000000-0005-0000-0000-00007C570000}"/>
    <cellStyle name="Warning Text 58" xfId="22030" xr:uid="{00000000-0005-0000-0000-00007D570000}"/>
    <cellStyle name="Warning Text 59" xfId="22031" xr:uid="{00000000-0005-0000-0000-00007E570000}"/>
    <cellStyle name="Warning Text 6" xfId="22032" xr:uid="{00000000-0005-0000-0000-00007F570000}"/>
    <cellStyle name="Warning Text 60" xfId="22033" xr:uid="{00000000-0005-0000-0000-000080570000}"/>
    <cellStyle name="Warning Text 61" xfId="22034" xr:uid="{00000000-0005-0000-0000-000081570000}"/>
    <cellStyle name="Warning Text 62" xfId="22035" xr:uid="{00000000-0005-0000-0000-000082570000}"/>
    <cellStyle name="Warning Text 63" xfId="22036" xr:uid="{00000000-0005-0000-0000-000083570000}"/>
    <cellStyle name="Warning Text 64" xfId="22037" xr:uid="{00000000-0005-0000-0000-000084570000}"/>
    <cellStyle name="Warning Text 65" xfId="22038" xr:uid="{00000000-0005-0000-0000-000085570000}"/>
    <cellStyle name="Warning Text 66" xfId="22039" xr:uid="{00000000-0005-0000-0000-000086570000}"/>
    <cellStyle name="Warning Text 67" xfId="22040" xr:uid="{00000000-0005-0000-0000-000087570000}"/>
    <cellStyle name="Warning Text 68" xfId="22041" xr:uid="{00000000-0005-0000-0000-000088570000}"/>
    <cellStyle name="Warning Text 69" xfId="22042" xr:uid="{00000000-0005-0000-0000-000089570000}"/>
    <cellStyle name="Warning Text 7" xfId="22043" xr:uid="{00000000-0005-0000-0000-00008A570000}"/>
    <cellStyle name="Warning Text 70" xfId="22044" xr:uid="{00000000-0005-0000-0000-00008B570000}"/>
    <cellStyle name="Warning Text 71" xfId="22045" xr:uid="{00000000-0005-0000-0000-00008C570000}"/>
    <cellStyle name="Warning Text 72" xfId="22046" xr:uid="{00000000-0005-0000-0000-00008D570000}"/>
    <cellStyle name="Warning Text 73" xfId="22047" xr:uid="{00000000-0005-0000-0000-00008E570000}"/>
    <cellStyle name="Warning Text 74" xfId="22048" xr:uid="{00000000-0005-0000-0000-00008F570000}"/>
    <cellStyle name="Warning Text 75" xfId="22049" xr:uid="{00000000-0005-0000-0000-000090570000}"/>
    <cellStyle name="Warning Text 76" xfId="22050" xr:uid="{00000000-0005-0000-0000-000091570000}"/>
    <cellStyle name="Warning Text 77" xfId="22051" xr:uid="{00000000-0005-0000-0000-000092570000}"/>
    <cellStyle name="Warning Text 78" xfId="22052" xr:uid="{00000000-0005-0000-0000-000093570000}"/>
    <cellStyle name="Warning Text 79" xfId="22053" xr:uid="{00000000-0005-0000-0000-000094570000}"/>
    <cellStyle name="Warning Text 8" xfId="22054" xr:uid="{00000000-0005-0000-0000-000095570000}"/>
    <cellStyle name="Warning Text 9" xfId="22055" xr:uid="{00000000-0005-0000-0000-000096570000}"/>
    <cellStyle name="wbg" xfId="22056" xr:uid="{00000000-0005-0000-0000-000097570000}"/>
    <cellStyle name="wheat merger's and acquisitions" xfId="22057" xr:uid="{00000000-0005-0000-0000-000098570000}"/>
    <cellStyle name="WhiteCells" xfId="22058" xr:uid="{00000000-0005-0000-0000-000099570000}"/>
    <cellStyle name="WhitePattern" xfId="22059" xr:uid="{00000000-0005-0000-0000-00009A570000}"/>
    <cellStyle name="WhitePattern1" xfId="22060" xr:uid="{00000000-0005-0000-0000-00009B570000}"/>
    <cellStyle name="WhitePattern1 2" xfId="22061" xr:uid="{00000000-0005-0000-0000-00009C570000}"/>
    <cellStyle name="WhitePattern1 2 2" xfId="22062" xr:uid="{00000000-0005-0000-0000-00009D570000}"/>
    <cellStyle name="WhitePattern1 2 2 2" xfId="22063" xr:uid="{00000000-0005-0000-0000-00009E570000}"/>
    <cellStyle name="WhitePattern1 2 2 3" xfId="22064" xr:uid="{00000000-0005-0000-0000-00009F570000}"/>
    <cellStyle name="WhitePattern1 2 3" xfId="22065" xr:uid="{00000000-0005-0000-0000-0000A0570000}"/>
    <cellStyle name="WhitePattern1 2 4" xfId="22066" xr:uid="{00000000-0005-0000-0000-0000A1570000}"/>
    <cellStyle name="WhitePattern1 3" xfId="22067" xr:uid="{00000000-0005-0000-0000-0000A2570000}"/>
    <cellStyle name="WhitePattern1 3 2" xfId="22068" xr:uid="{00000000-0005-0000-0000-0000A3570000}"/>
    <cellStyle name="WhitePattern1 3 3" xfId="22069" xr:uid="{00000000-0005-0000-0000-0000A4570000}"/>
    <cellStyle name="WhitePattern1 4" xfId="22070" xr:uid="{00000000-0005-0000-0000-0000A5570000}"/>
    <cellStyle name="WhitePattern1 5" xfId="22071" xr:uid="{00000000-0005-0000-0000-0000A6570000}"/>
    <cellStyle name="WhiteText" xfId="22072" xr:uid="{00000000-0005-0000-0000-0000A7570000}"/>
    <cellStyle name="WholeNumber" xfId="22073" xr:uid="{00000000-0005-0000-0000-0000A8570000}"/>
    <cellStyle name="WingDing" xfId="22074" xr:uid="{00000000-0005-0000-0000-0000A9570000}"/>
    <cellStyle name="working_cap" xfId="22075" xr:uid="{00000000-0005-0000-0000-0000AA570000}"/>
    <cellStyle name="WP" xfId="22076" xr:uid="{00000000-0005-0000-0000-0000AB570000}"/>
    <cellStyle name="WrappedBold" xfId="22077" xr:uid="{00000000-0005-0000-0000-0000AC570000}"/>
    <cellStyle name="x" xfId="22078" xr:uid="{00000000-0005-0000-0000-0000AD570000}"/>
    <cellStyle name="X - None" xfId="22079" xr:uid="{00000000-0005-0000-0000-0000AE570000}"/>
    <cellStyle name="x [1]" xfId="22080" xr:uid="{00000000-0005-0000-0000-0000AF570000}"/>
    <cellStyle name="x Men" xfId="22081" xr:uid="{00000000-0005-0000-0000-0000B0570000}"/>
    <cellStyle name="x_ATD Valuation - 3Q10 v30" xfId="22082" xr:uid="{00000000-0005-0000-0000-0000B1570000}"/>
    <cellStyle name="x_ATD Valuation - 4Q10 v7 FOP only" xfId="22083" xr:uid="{00000000-0005-0000-0000-0000B2570000}"/>
    <cellStyle name="x_Biomet Valuation - 4Q10" xfId="22084" xr:uid="{00000000-0005-0000-0000-0000B3570000}"/>
    <cellStyle name="x_Book1" xfId="22085" xr:uid="{00000000-0005-0000-0000-0000B4570000}"/>
    <cellStyle name="x_Lenta Valuation - 4Q10" xfId="22086" xr:uid="{00000000-0005-0000-0000-0000B5570000}"/>
    <cellStyle name="X_Projection Summary 9_26-05" xfId="22087" xr:uid="{00000000-0005-0000-0000-0000B6570000}"/>
    <cellStyle name="x_TSA Model - 1 8 06 - v2" xfId="22088" xr:uid="{00000000-0005-0000-0000-0000B7570000}"/>
    <cellStyle name="x_TSA Model - 1 8 06 - v2_Valerus Financial Model  - COMPANY VERSION 7-1-09 (Barcap v2)" xfId="22089" xr:uid="{00000000-0005-0000-0000-0000B8570000}"/>
    <cellStyle name="x_TSA Model - 1 8 06 - v2_Valerus Financial Model  - COMPANY VERSION 7-1-09 (Barcap v28)" xfId="22090" xr:uid="{00000000-0005-0000-0000-0000B9570000}"/>
    <cellStyle name="x1" xfId="22091" xr:uid="{00000000-0005-0000-0000-0000BA570000}"/>
    <cellStyle name="xc" xfId="22092" xr:uid="{00000000-0005-0000-0000-0000BB570000}"/>
    <cellStyle name="XComma" xfId="22093" xr:uid="{00000000-0005-0000-0000-0000BC570000}"/>
    <cellStyle name="XComma 0.0" xfId="22094" xr:uid="{00000000-0005-0000-0000-0000BD570000}"/>
    <cellStyle name="XComma 0.00" xfId="22095" xr:uid="{00000000-0005-0000-0000-0000BE570000}"/>
    <cellStyle name="XComma 0.000" xfId="22096" xr:uid="{00000000-0005-0000-0000-0000BF570000}"/>
    <cellStyle name="XCurrency" xfId="22097" xr:uid="{00000000-0005-0000-0000-0000C0570000}"/>
    <cellStyle name="XCurrency 0.0" xfId="22098" xr:uid="{00000000-0005-0000-0000-0000C1570000}"/>
    <cellStyle name="XCurrency 0.00" xfId="22099" xr:uid="{00000000-0005-0000-0000-0000C2570000}"/>
    <cellStyle name="XCurrency 0.000" xfId="22100" xr:uid="{00000000-0005-0000-0000-0000C3570000}"/>
    <cellStyle name="Year" xfId="22101" xr:uid="{00000000-0005-0000-0000-0000C4570000}"/>
    <cellStyle name="yellow" xfId="22102" xr:uid="{00000000-0005-0000-0000-0000C5570000}"/>
    <cellStyle name="Yen" xfId="22103" xr:uid="{00000000-0005-0000-0000-0000C6570000}"/>
    <cellStyle name="yer" xfId="22104" xr:uid="{00000000-0005-0000-0000-0000C7570000}"/>
    <cellStyle name="yr" xfId="22105" xr:uid="{00000000-0005-0000-0000-0000C8570000}"/>
    <cellStyle name="yra" xfId="22106" xr:uid="{00000000-0005-0000-0000-0000C9570000}"/>
    <cellStyle name="yra 2" xfId="22107" xr:uid="{00000000-0005-0000-0000-0000CA570000}"/>
    <cellStyle name="yrActual" xfId="22108" xr:uid="{00000000-0005-0000-0000-0000CB570000}"/>
    <cellStyle name="yrActual 2" xfId="22109" xr:uid="{00000000-0005-0000-0000-0000CC570000}"/>
    <cellStyle name="yre" xfId="22110" xr:uid="{00000000-0005-0000-0000-0000CD570000}"/>
    <cellStyle name="yre 2" xfId="22111" xr:uid="{00000000-0005-0000-0000-0000CE570000}"/>
    <cellStyle name="yreu" xfId="22112" xr:uid="{00000000-0005-0000-0000-0000CF570000}"/>
    <cellStyle name="yreu 2" xfId="22113" xr:uid="{00000000-0005-0000-0000-0000D0570000}"/>
    <cellStyle name="yrExpect" xfId="22114" xr:uid="{00000000-0005-0000-0000-0000D1570000}"/>
    <cellStyle name="yrExpect 2" xfId="22115" xr:uid="{00000000-0005-0000-0000-0000D2570000}"/>
    <cellStyle name="yrexpecty" xfId="22116" xr:uid="{00000000-0005-0000-0000-0000D3570000}"/>
    <cellStyle name="yru" xfId="22117" xr:uid="{00000000-0005-0000-0000-0000D4570000}"/>
    <cellStyle name="yru 2" xfId="22118" xr:uid="{00000000-0005-0000-0000-0000D5570000}"/>
    <cellStyle name="yrue" xfId="22119" xr:uid="{00000000-0005-0000-0000-0000D6570000}"/>
    <cellStyle name="yrue 2" xfId="22120" xr:uid="{00000000-0005-0000-0000-0000D7570000}"/>
    <cellStyle name="YYYY" xfId="22121" xr:uid="{00000000-0005-0000-0000-0000D8570000}"/>
    <cellStyle name="Акцент1 10" xfId="22122" xr:uid="{00000000-0005-0000-0000-0000D9570000}"/>
    <cellStyle name="Акцент1 10 2" xfId="22123" xr:uid="{00000000-0005-0000-0000-0000DA570000}"/>
    <cellStyle name="Акцент1 100" xfId="22124" xr:uid="{00000000-0005-0000-0000-0000DB570000}"/>
    <cellStyle name="Акцент1 101" xfId="22125" xr:uid="{00000000-0005-0000-0000-0000DC570000}"/>
    <cellStyle name="Акцент1 102" xfId="22126" xr:uid="{00000000-0005-0000-0000-0000DD570000}"/>
    <cellStyle name="Акцент1 103" xfId="22127" xr:uid="{00000000-0005-0000-0000-0000DE570000}"/>
    <cellStyle name="Акцент1 104" xfId="22128" xr:uid="{00000000-0005-0000-0000-0000DF570000}"/>
    <cellStyle name="Акцент1 105" xfId="22129" xr:uid="{00000000-0005-0000-0000-0000E0570000}"/>
    <cellStyle name="Акцент1 106" xfId="22130" xr:uid="{00000000-0005-0000-0000-0000E1570000}"/>
    <cellStyle name="Акцент1 107" xfId="22131" xr:uid="{00000000-0005-0000-0000-0000E2570000}"/>
    <cellStyle name="Акцент1 108" xfId="22132" xr:uid="{00000000-0005-0000-0000-0000E3570000}"/>
    <cellStyle name="Акцент1 109" xfId="22133" xr:uid="{00000000-0005-0000-0000-0000E4570000}"/>
    <cellStyle name="Акцент1 11" xfId="22134" xr:uid="{00000000-0005-0000-0000-0000E5570000}"/>
    <cellStyle name="Акцент1 11 2" xfId="26846" xr:uid="{00000000-0005-0000-0000-0000E6570000}"/>
    <cellStyle name="Акцент1 110" xfId="22135" xr:uid="{00000000-0005-0000-0000-0000E7570000}"/>
    <cellStyle name="Акцент1 111" xfId="22136" xr:uid="{00000000-0005-0000-0000-0000E8570000}"/>
    <cellStyle name="Акцент1 112" xfId="22137" xr:uid="{00000000-0005-0000-0000-0000E9570000}"/>
    <cellStyle name="Акцент1 113" xfId="22138" xr:uid="{00000000-0005-0000-0000-0000EA570000}"/>
    <cellStyle name="Акцент1 114" xfId="22139" xr:uid="{00000000-0005-0000-0000-0000EB570000}"/>
    <cellStyle name="Акцент1 115" xfId="22140" xr:uid="{00000000-0005-0000-0000-0000EC570000}"/>
    <cellStyle name="Акцент1 116" xfId="22141" xr:uid="{00000000-0005-0000-0000-0000ED570000}"/>
    <cellStyle name="Акцент1 117" xfId="22142" xr:uid="{00000000-0005-0000-0000-0000EE570000}"/>
    <cellStyle name="Акцент1 118" xfId="22143" xr:uid="{00000000-0005-0000-0000-0000EF570000}"/>
    <cellStyle name="Акцент1 119" xfId="22144" xr:uid="{00000000-0005-0000-0000-0000F0570000}"/>
    <cellStyle name="Акцент1 12" xfId="22145" xr:uid="{00000000-0005-0000-0000-0000F1570000}"/>
    <cellStyle name="Акцент1 12 2" xfId="26848" xr:uid="{00000000-0005-0000-0000-0000F2570000}"/>
    <cellStyle name="Акцент1 120" xfId="22146" xr:uid="{00000000-0005-0000-0000-0000F3570000}"/>
    <cellStyle name="Акцент1 121" xfId="22147" xr:uid="{00000000-0005-0000-0000-0000F4570000}"/>
    <cellStyle name="Акцент1 122" xfId="22148" xr:uid="{00000000-0005-0000-0000-0000F5570000}"/>
    <cellStyle name="Акцент1 123" xfId="22149" xr:uid="{00000000-0005-0000-0000-0000F6570000}"/>
    <cellStyle name="Акцент1 124" xfId="22150" xr:uid="{00000000-0005-0000-0000-0000F7570000}"/>
    <cellStyle name="Акцент1 125" xfId="22151" xr:uid="{00000000-0005-0000-0000-0000F8570000}"/>
    <cellStyle name="Акцент1 126" xfId="22152" xr:uid="{00000000-0005-0000-0000-0000F9570000}"/>
    <cellStyle name="Акцент1 127" xfId="22153" xr:uid="{00000000-0005-0000-0000-0000FA570000}"/>
    <cellStyle name="Акцент1 128" xfId="22154" xr:uid="{00000000-0005-0000-0000-0000FB570000}"/>
    <cellStyle name="Акцент1 129" xfId="22155" xr:uid="{00000000-0005-0000-0000-0000FC570000}"/>
    <cellStyle name="Акцент1 13" xfId="22156" xr:uid="{00000000-0005-0000-0000-0000FD570000}"/>
    <cellStyle name="Акцент1 13 2" xfId="26887" xr:uid="{00000000-0005-0000-0000-0000FE570000}"/>
    <cellStyle name="Акцент1 130" xfId="22157" xr:uid="{00000000-0005-0000-0000-0000FF570000}"/>
    <cellStyle name="Акцент1 131" xfId="22158" xr:uid="{00000000-0005-0000-0000-000000580000}"/>
    <cellStyle name="Акцент1 132" xfId="22159" xr:uid="{00000000-0005-0000-0000-000001580000}"/>
    <cellStyle name="Акцент1 133" xfId="22160" xr:uid="{00000000-0005-0000-0000-000002580000}"/>
    <cellStyle name="Акцент1 134" xfId="22161" xr:uid="{00000000-0005-0000-0000-000003580000}"/>
    <cellStyle name="Акцент1 135" xfId="22162" xr:uid="{00000000-0005-0000-0000-000004580000}"/>
    <cellStyle name="Акцент1 136" xfId="22163" xr:uid="{00000000-0005-0000-0000-000005580000}"/>
    <cellStyle name="Акцент1 137" xfId="22164" xr:uid="{00000000-0005-0000-0000-000006580000}"/>
    <cellStyle name="Акцент1 138" xfId="22165" xr:uid="{00000000-0005-0000-0000-000007580000}"/>
    <cellStyle name="Акцент1 139" xfId="22166" xr:uid="{00000000-0005-0000-0000-000008580000}"/>
    <cellStyle name="Акцент1 14" xfId="22167" xr:uid="{00000000-0005-0000-0000-000009580000}"/>
    <cellStyle name="Акцент1 14 2" xfId="26893" xr:uid="{00000000-0005-0000-0000-00000A580000}"/>
    <cellStyle name="Акцент1 140" xfId="22168" xr:uid="{00000000-0005-0000-0000-00000B580000}"/>
    <cellStyle name="Акцент1 141" xfId="22169" xr:uid="{00000000-0005-0000-0000-00000C580000}"/>
    <cellStyle name="Акцент1 142" xfId="22170" xr:uid="{00000000-0005-0000-0000-00000D580000}"/>
    <cellStyle name="Акцент1 143" xfId="22171" xr:uid="{00000000-0005-0000-0000-00000E580000}"/>
    <cellStyle name="Акцент1 144" xfId="22172" xr:uid="{00000000-0005-0000-0000-00000F580000}"/>
    <cellStyle name="Акцент1 145" xfId="22173" xr:uid="{00000000-0005-0000-0000-000010580000}"/>
    <cellStyle name="Акцент1 146" xfId="22174" xr:uid="{00000000-0005-0000-0000-000011580000}"/>
    <cellStyle name="Акцент1 147" xfId="22175" xr:uid="{00000000-0005-0000-0000-000012580000}"/>
    <cellStyle name="Акцент1 148" xfId="22176" xr:uid="{00000000-0005-0000-0000-000013580000}"/>
    <cellStyle name="Акцент1 149" xfId="22177" xr:uid="{00000000-0005-0000-0000-000014580000}"/>
    <cellStyle name="Акцент1 15" xfId="22178" xr:uid="{00000000-0005-0000-0000-000015580000}"/>
    <cellStyle name="Акцент1 15 2" xfId="26896" xr:uid="{00000000-0005-0000-0000-000016580000}"/>
    <cellStyle name="Акцент1 150" xfId="22179" xr:uid="{00000000-0005-0000-0000-000017580000}"/>
    <cellStyle name="Акцент1 151" xfId="22180" xr:uid="{00000000-0005-0000-0000-000018580000}"/>
    <cellStyle name="Акцент1 152" xfId="22181" xr:uid="{00000000-0005-0000-0000-000019580000}"/>
    <cellStyle name="Акцент1 153" xfId="22182" xr:uid="{00000000-0005-0000-0000-00001A580000}"/>
    <cellStyle name="Акцент1 154" xfId="22183" xr:uid="{00000000-0005-0000-0000-00001B580000}"/>
    <cellStyle name="Акцент1 155" xfId="22184" xr:uid="{00000000-0005-0000-0000-00001C580000}"/>
    <cellStyle name="Акцент1 156" xfId="22185" xr:uid="{00000000-0005-0000-0000-00001D580000}"/>
    <cellStyle name="Акцент1 157" xfId="22186" xr:uid="{00000000-0005-0000-0000-00001E580000}"/>
    <cellStyle name="Акцент1 158" xfId="22187" xr:uid="{00000000-0005-0000-0000-00001F580000}"/>
    <cellStyle name="Акцент1 159" xfId="22188" xr:uid="{00000000-0005-0000-0000-000020580000}"/>
    <cellStyle name="Акцент1 16" xfId="22189" xr:uid="{00000000-0005-0000-0000-000021580000}"/>
    <cellStyle name="Акцент1 16 2" xfId="26935" xr:uid="{00000000-0005-0000-0000-000022580000}"/>
    <cellStyle name="Акцент1 160" xfId="22190" xr:uid="{00000000-0005-0000-0000-000023580000}"/>
    <cellStyle name="Акцент1 161" xfId="22191" xr:uid="{00000000-0005-0000-0000-000024580000}"/>
    <cellStyle name="Акцент1 162" xfId="22192" xr:uid="{00000000-0005-0000-0000-000025580000}"/>
    <cellStyle name="Акцент1 163" xfId="22193" xr:uid="{00000000-0005-0000-0000-000026580000}"/>
    <cellStyle name="Акцент1 164" xfId="22194" xr:uid="{00000000-0005-0000-0000-000027580000}"/>
    <cellStyle name="Акцент1 165" xfId="22195" xr:uid="{00000000-0005-0000-0000-000028580000}"/>
    <cellStyle name="Акцент1 166" xfId="22196" xr:uid="{00000000-0005-0000-0000-000029580000}"/>
    <cellStyle name="Акцент1 167" xfId="22197" xr:uid="{00000000-0005-0000-0000-00002A580000}"/>
    <cellStyle name="Акцент1 168" xfId="22198" xr:uid="{00000000-0005-0000-0000-00002B580000}"/>
    <cellStyle name="Акцент1 169" xfId="22199" xr:uid="{00000000-0005-0000-0000-00002C580000}"/>
    <cellStyle name="Акцент1 17" xfId="22200" xr:uid="{00000000-0005-0000-0000-00002D580000}"/>
    <cellStyle name="Акцент1 17 2" xfId="26941" xr:uid="{00000000-0005-0000-0000-00002E580000}"/>
    <cellStyle name="Акцент1 170" xfId="22201" xr:uid="{00000000-0005-0000-0000-00002F580000}"/>
    <cellStyle name="Акцент1 171" xfId="22202" xr:uid="{00000000-0005-0000-0000-000030580000}"/>
    <cellStyle name="Акцент1 172" xfId="22203" xr:uid="{00000000-0005-0000-0000-000031580000}"/>
    <cellStyle name="Акцент1 18" xfId="22204" xr:uid="{00000000-0005-0000-0000-000032580000}"/>
    <cellStyle name="Акцент1 18 2" xfId="26944" xr:uid="{00000000-0005-0000-0000-000033580000}"/>
    <cellStyle name="Акцент1 19" xfId="22205" xr:uid="{00000000-0005-0000-0000-000034580000}"/>
    <cellStyle name="Акцент1 19 2" xfId="27002" xr:uid="{00000000-0005-0000-0000-000035580000}"/>
    <cellStyle name="Акцент1 2" xfId="22206" xr:uid="{00000000-0005-0000-0000-000036580000}"/>
    <cellStyle name="Акцент1 2 2" xfId="22207" xr:uid="{00000000-0005-0000-0000-000037580000}"/>
    <cellStyle name="Акцент1 2 3" xfId="22208" xr:uid="{00000000-0005-0000-0000-000038580000}"/>
    <cellStyle name="Акцент1 20" xfId="22209" xr:uid="{00000000-0005-0000-0000-000039580000}"/>
    <cellStyle name="Акцент1 20 2" xfId="27014" xr:uid="{00000000-0005-0000-0000-00003A580000}"/>
    <cellStyle name="Акцент1 21" xfId="22210" xr:uid="{00000000-0005-0000-0000-00003B580000}"/>
    <cellStyle name="Акцент1 21 2" xfId="27026" xr:uid="{00000000-0005-0000-0000-00003C580000}"/>
    <cellStyle name="Акцент1 22" xfId="22211" xr:uid="{00000000-0005-0000-0000-00003D580000}"/>
    <cellStyle name="Акцент1 22 2" xfId="27032" xr:uid="{00000000-0005-0000-0000-00003E580000}"/>
    <cellStyle name="Акцент1 23" xfId="22212" xr:uid="{00000000-0005-0000-0000-00003F580000}"/>
    <cellStyle name="Акцент1 23 2" xfId="27038" xr:uid="{00000000-0005-0000-0000-000040580000}"/>
    <cellStyle name="Акцент1 24" xfId="22213" xr:uid="{00000000-0005-0000-0000-000041580000}"/>
    <cellStyle name="Акцент1 24 2" xfId="27041" xr:uid="{00000000-0005-0000-0000-000042580000}"/>
    <cellStyle name="Акцент1 25" xfId="22214" xr:uid="{00000000-0005-0000-0000-000043580000}"/>
    <cellStyle name="Акцент1 25 2" xfId="27090" xr:uid="{00000000-0005-0000-0000-000044580000}"/>
    <cellStyle name="Акцент1 26" xfId="22215" xr:uid="{00000000-0005-0000-0000-000045580000}"/>
    <cellStyle name="Акцент1 26 2" xfId="27096" xr:uid="{00000000-0005-0000-0000-000046580000}"/>
    <cellStyle name="Акцент1 27" xfId="22216" xr:uid="{00000000-0005-0000-0000-000047580000}"/>
    <cellStyle name="Акцент1 27 2" xfId="27102" xr:uid="{00000000-0005-0000-0000-000048580000}"/>
    <cellStyle name="Акцент1 28" xfId="22217" xr:uid="{00000000-0005-0000-0000-000049580000}"/>
    <cellStyle name="Акцент1 28 2" xfId="27106" xr:uid="{00000000-0005-0000-0000-00004A580000}"/>
    <cellStyle name="Акцент1 29" xfId="22218" xr:uid="{00000000-0005-0000-0000-00004B580000}"/>
    <cellStyle name="Акцент1 29 2" xfId="27146" xr:uid="{00000000-0005-0000-0000-00004C580000}"/>
    <cellStyle name="Акцент1 3" xfId="22219" xr:uid="{00000000-0005-0000-0000-00004D580000}"/>
    <cellStyle name="Акцент1 3 2" xfId="22220" xr:uid="{00000000-0005-0000-0000-00004E580000}"/>
    <cellStyle name="Акцент1 3 3" xfId="22221" xr:uid="{00000000-0005-0000-0000-00004F580000}"/>
    <cellStyle name="Акцент1 30" xfId="22222" xr:uid="{00000000-0005-0000-0000-000050580000}"/>
    <cellStyle name="Акцент1 30 2" xfId="27152" xr:uid="{00000000-0005-0000-0000-000051580000}"/>
    <cellStyle name="Акцент1 31" xfId="22223" xr:uid="{00000000-0005-0000-0000-000052580000}"/>
    <cellStyle name="Акцент1 31 2" xfId="27155" xr:uid="{00000000-0005-0000-0000-000053580000}"/>
    <cellStyle name="Акцент1 32" xfId="22224" xr:uid="{00000000-0005-0000-0000-000054580000}"/>
    <cellStyle name="Акцент1 32 2" xfId="27171" xr:uid="{00000000-0005-0000-0000-000055580000}"/>
    <cellStyle name="Акцент1 33" xfId="22225" xr:uid="{00000000-0005-0000-0000-000056580000}"/>
    <cellStyle name="Акцент1 33 2" xfId="27192" xr:uid="{00000000-0005-0000-0000-000057580000}"/>
    <cellStyle name="Акцент1 34" xfId="22226" xr:uid="{00000000-0005-0000-0000-000058580000}"/>
    <cellStyle name="Акцент1 34 2" xfId="27217" xr:uid="{00000000-0005-0000-0000-000059580000}"/>
    <cellStyle name="Акцент1 35" xfId="22227" xr:uid="{00000000-0005-0000-0000-00005A580000}"/>
    <cellStyle name="Акцент1 35 2" xfId="27250" xr:uid="{00000000-0005-0000-0000-00005B580000}"/>
    <cellStyle name="Акцент1 36" xfId="22228" xr:uid="{00000000-0005-0000-0000-00005C580000}"/>
    <cellStyle name="Акцент1 36 2" xfId="27262" xr:uid="{00000000-0005-0000-0000-00005D580000}"/>
    <cellStyle name="Акцент1 37" xfId="22229" xr:uid="{00000000-0005-0000-0000-00005E580000}"/>
    <cellStyle name="Акцент1 37 2" xfId="27327" xr:uid="{00000000-0005-0000-0000-00005F580000}"/>
    <cellStyle name="Акцент1 38" xfId="22230" xr:uid="{00000000-0005-0000-0000-000060580000}"/>
    <cellStyle name="Акцент1 38 2" xfId="27334" xr:uid="{00000000-0005-0000-0000-000061580000}"/>
    <cellStyle name="Акцент1 39" xfId="22231" xr:uid="{00000000-0005-0000-0000-000062580000}"/>
    <cellStyle name="Акцент1 39 2" xfId="27341" xr:uid="{00000000-0005-0000-0000-000063580000}"/>
    <cellStyle name="Акцент1 4" xfId="22232" xr:uid="{00000000-0005-0000-0000-000064580000}"/>
    <cellStyle name="Акцент1 4 2" xfId="22233" xr:uid="{00000000-0005-0000-0000-000065580000}"/>
    <cellStyle name="Акцент1 40" xfId="22234" xr:uid="{00000000-0005-0000-0000-000066580000}"/>
    <cellStyle name="Акцент1 40 2" xfId="27347" xr:uid="{00000000-0005-0000-0000-000067580000}"/>
    <cellStyle name="Акцент1 41" xfId="22235" xr:uid="{00000000-0005-0000-0000-000068580000}"/>
    <cellStyle name="Акцент1 41 2" xfId="27405" xr:uid="{00000000-0005-0000-0000-000069580000}"/>
    <cellStyle name="Акцент1 42" xfId="22236" xr:uid="{00000000-0005-0000-0000-00006A580000}"/>
    <cellStyle name="Акцент1 42 2" xfId="27429" xr:uid="{00000000-0005-0000-0000-00006B580000}"/>
    <cellStyle name="Акцент1 43" xfId="22237" xr:uid="{00000000-0005-0000-0000-00006C580000}"/>
    <cellStyle name="Акцент1 43 2" xfId="27436" xr:uid="{00000000-0005-0000-0000-00006D580000}"/>
    <cellStyle name="Акцент1 44" xfId="22238" xr:uid="{00000000-0005-0000-0000-00006E580000}"/>
    <cellStyle name="Акцент1 44 2" xfId="27447" xr:uid="{00000000-0005-0000-0000-00006F580000}"/>
    <cellStyle name="Акцент1 45" xfId="22239" xr:uid="{00000000-0005-0000-0000-000070580000}"/>
    <cellStyle name="Акцент1 45 2" xfId="27453" xr:uid="{00000000-0005-0000-0000-000071580000}"/>
    <cellStyle name="Акцент1 46" xfId="22240" xr:uid="{00000000-0005-0000-0000-000072580000}"/>
    <cellStyle name="Акцент1 46 2" xfId="27518" xr:uid="{00000000-0005-0000-0000-000073580000}"/>
    <cellStyle name="Акцент1 47" xfId="22241" xr:uid="{00000000-0005-0000-0000-000074580000}"/>
    <cellStyle name="Акцент1 47 2" xfId="27525" xr:uid="{00000000-0005-0000-0000-000075580000}"/>
    <cellStyle name="Акцент1 48" xfId="22242" xr:uid="{00000000-0005-0000-0000-000076580000}"/>
    <cellStyle name="Акцент1 48 2" xfId="27532" xr:uid="{00000000-0005-0000-0000-000077580000}"/>
    <cellStyle name="Акцент1 49" xfId="22243" xr:uid="{00000000-0005-0000-0000-000078580000}"/>
    <cellStyle name="Акцент1 49 2" xfId="27539" xr:uid="{00000000-0005-0000-0000-000079580000}"/>
    <cellStyle name="Акцент1 5" xfId="22244" xr:uid="{00000000-0005-0000-0000-00007A580000}"/>
    <cellStyle name="Акцент1 5 2" xfId="22245" xr:uid="{00000000-0005-0000-0000-00007B580000}"/>
    <cellStyle name="Акцент1 50" xfId="22246" xr:uid="{00000000-0005-0000-0000-00007C580000}"/>
    <cellStyle name="Акцент1 50 2" xfId="27609" xr:uid="{00000000-0005-0000-0000-00007D580000}"/>
    <cellStyle name="Акцент1 51" xfId="22247" xr:uid="{00000000-0005-0000-0000-00007E580000}"/>
    <cellStyle name="Акцент1 51 2" xfId="27621" xr:uid="{00000000-0005-0000-0000-00007F580000}"/>
    <cellStyle name="Акцент1 52" xfId="22248" xr:uid="{00000000-0005-0000-0000-000080580000}"/>
    <cellStyle name="Акцент1 52 2" xfId="27638" xr:uid="{00000000-0005-0000-0000-000081580000}"/>
    <cellStyle name="Акцент1 53" xfId="22249" xr:uid="{00000000-0005-0000-0000-000082580000}"/>
    <cellStyle name="Акцент1 53 2" xfId="27642" xr:uid="{00000000-0005-0000-0000-000083580000}"/>
    <cellStyle name="Акцент1 54" xfId="22250" xr:uid="{00000000-0005-0000-0000-000084580000}"/>
    <cellStyle name="Акцент1 54 2" xfId="27649" xr:uid="{00000000-0005-0000-0000-000085580000}"/>
    <cellStyle name="Акцент1 55" xfId="22251" xr:uid="{00000000-0005-0000-0000-000086580000}"/>
    <cellStyle name="Акцент1 55 2" xfId="27721" xr:uid="{00000000-0005-0000-0000-000087580000}"/>
    <cellStyle name="Акцент1 56" xfId="22252" xr:uid="{00000000-0005-0000-0000-000088580000}"/>
    <cellStyle name="Акцент1 56 2" xfId="27735" xr:uid="{00000000-0005-0000-0000-000089580000}"/>
    <cellStyle name="Акцент1 57" xfId="22253" xr:uid="{00000000-0005-0000-0000-00008A580000}"/>
    <cellStyle name="Акцент1 57 2" xfId="27742" xr:uid="{00000000-0005-0000-0000-00008B580000}"/>
    <cellStyle name="Акцент1 58" xfId="22254" xr:uid="{00000000-0005-0000-0000-00008C580000}"/>
    <cellStyle name="Акцент1 58 2" xfId="27749" xr:uid="{00000000-0005-0000-0000-00008D580000}"/>
    <cellStyle name="Акцент1 59" xfId="22255" xr:uid="{00000000-0005-0000-0000-00008E580000}"/>
    <cellStyle name="Акцент1 59 2" xfId="27754" xr:uid="{00000000-0005-0000-0000-00008F580000}"/>
    <cellStyle name="Акцент1 6" xfId="22256" xr:uid="{00000000-0005-0000-0000-000090580000}"/>
    <cellStyle name="Акцент1 6 2" xfId="22257" xr:uid="{00000000-0005-0000-0000-000091580000}"/>
    <cellStyle name="Акцент1 60" xfId="22258" xr:uid="{00000000-0005-0000-0000-000092580000}"/>
    <cellStyle name="Акцент1 61" xfId="22259" xr:uid="{00000000-0005-0000-0000-000093580000}"/>
    <cellStyle name="Акцент1 62" xfId="22260" xr:uid="{00000000-0005-0000-0000-000094580000}"/>
    <cellStyle name="Акцент1 63" xfId="22261" xr:uid="{00000000-0005-0000-0000-000095580000}"/>
    <cellStyle name="Акцент1 64" xfId="22262" xr:uid="{00000000-0005-0000-0000-000096580000}"/>
    <cellStyle name="Акцент1 65" xfId="22263" xr:uid="{00000000-0005-0000-0000-000097580000}"/>
    <cellStyle name="Акцент1 66" xfId="22264" xr:uid="{00000000-0005-0000-0000-000098580000}"/>
    <cellStyle name="Акцент1 67" xfId="22265" xr:uid="{00000000-0005-0000-0000-000099580000}"/>
    <cellStyle name="Акцент1 68" xfId="22266" xr:uid="{00000000-0005-0000-0000-00009A580000}"/>
    <cellStyle name="Акцент1 69" xfId="22267" xr:uid="{00000000-0005-0000-0000-00009B580000}"/>
    <cellStyle name="Акцент1 7" xfId="22268" xr:uid="{00000000-0005-0000-0000-00009C580000}"/>
    <cellStyle name="Акцент1 7 2" xfId="22269" xr:uid="{00000000-0005-0000-0000-00009D580000}"/>
    <cellStyle name="Акцент1 70" xfId="22270" xr:uid="{00000000-0005-0000-0000-00009E580000}"/>
    <cellStyle name="Акцент1 71" xfId="22271" xr:uid="{00000000-0005-0000-0000-00009F580000}"/>
    <cellStyle name="Акцент1 72" xfId="22272" xr:uid="{00000000-0005-0000-0000-0000A0580000}"/>
    <cellStyle name="Акцент1 73" xfId="22273" xr:uid="{00000000-0005-0000-0000-0000A1580000}"/>
    <cellStyle name="Акцент1 74" xfId="22274" xr:uid="{00000000-0005-0000-0000-0000A2580000}"/>
    <cellStyle name="Акцент1 75" xfId="22275" xr:uid="{00000000-0005-0000-0000-0000A3580000}"/>
    <cellStyle name="Акцент1 76" xfId="22276" xr:uid="{00000000-0005-0000-0000-0000A4580000}"/>
    <cellStyle name="Акцент1 77" xfId="22277" xr:uid="{00000000-0005-0000-0000-0000A5580000}"/>
    <cellStyle name="Акцент1 78" xfId="22278" xr:uid="{00000000-0005-0000-0000-0000A6580000}"/>
    <cellStyle name="Акцент1 79" xfId="22279" xr:uid="{00000000-0005-0000-0000-0000A7580000}"/>
    <cellStyle name="Акцент1 8" xfId="22280" xr:uid="{00000000-0005-0000-0000-0000A8580000}"/>
    <cellStyle name="Акцент1 8 2" xfId="22281" xr:uid="{00000000-0005-0000-0000-0000A9580000}"/>
    <cellStyle name="Акцент1 80" xfId="22282" xr:uid="{00000000-0005-0000-0000-0000AA580000}"/>
    <cellStyle name="Акцент1 81" xfId="22283" xr:uid="{00000000-0005-0000-0000-0000AB580000}"/>
    <cellStyle name="Акцент1 82" xfId="22284" xr:uid="{00000000-0005-0000-0000-0000AC580000}"/>
    <cellStyle name="Акцент1 83" xfId="22285" xr:uid="{00000000-0005-0000-0000-0000AD580000}"/>
    <cellStyle name="Акцент1 84" xfId="22286" xr:uid="{00000000-0005-0000-0000-0000AE580000}"/>
    <cellStyle name="Акцент1 85" xfId="22287" xr:uid="{00000000-0005-0000-0000-0000AF580000}"/>
    <cellStyle name="Акцент1 86" xfId="22288" xr:uid="{00000000-0005-0000-0000-0000B0580000}"/>
    <cellStyle name="Акцент1 87" xfId="22289" xr:uid="{00000000-0005-0000-0000-0000B1580000}"/>
    <cellStyle name="Акцент1 88" xfId="22290" xr:uid="{00000000-0005-0000-0000-0000B2580000}"/>
    <cellStyle name="Акцент1 89" xfId="22291" xr:uid="{00000000-0005-0000-0000-0000B3580000}"/>
    <cellStyle name="Акцент1 9" xfId="22292" xr:uid="{00000000-0005-0000-0000-0000B4580000}"/>
    <cellStyle name="Акцент1 9 2" xfId="22293" xr:uid="{00000000-0005-0000-0000-0000B5580000}"/>
    <cellStyle name="Акцент1 90" xfId="22294" xr:uid="{00000000-0005-0000-0000-0000B6580000}"/>
    <cellStyle name="Акцент1 91" xfId="22295" xr:uid="{00000000-0005-0000-0000-0000B7580000}"/>
    <cellStyle name="Акцент1 92" xfId="22296" xr:uid="{00000000-0005-0000-0000-0000B8580000}"/>
    <cellStyle name="Акцент1 93" xfId="22297" xr:uid="{00000000-0005-0000-0000-0000B9580000}"/>
    <cellStyle name="Акцент1 94" xfId="22298" xr:uid="{00000000-0005-0000-0000-0000BA580000}"/>
    <cellStyle name="Акцент1 95" xfId="22299" xr:uid="{00000000-0005-0000-0000-0000BB580000}"/>
    <cellStyle name="Акцент1 96" xfId="22300" xr:uid="{00000000-0005-0000-0000-0000BC580000}"/>
    <cellStyle name="Акцент1 97" xfId="22301" xr:uid="{00000000-0005-0000-0000-0000BD580000}"/>
    <cellStyle name="Акцент1 98" xfId="22302" xr:uid="{00000000-0005-0000-0000-0000BE580000}"/>
    <cellStyle name="Акцент1 99" xfId="22303" xr:uid="{00000000-0005-0000-0000-0000BF580000}"/>
    <cellStyle name="Акцент2 10" xfId="22305" xr:uid="{00000000-0005-0000-0000-0000C0580000}"/>
    <cellStyle name="Акцент2 10 2" xfId="22306" xr:uid="{00000000-0005-0000-0000-0000C1580000}"/>
    <cellStyle name="Акцент2 100" xfId="22307" xr:uid="{00000000-0005-0000-0000-0000C2580000}"/>
    <cellStyle name="Акцент2 101" xfId="22308" xr:uid="{00000000-0005-0000-0000-0000C3580000}"/>
    <cellStyle name="Акцент2 102" xfId="22309" xr:uid="{00000000-0005-0000-0000-0000C4580000}"/>
    <cellStyle name="Акцент2 103" xfId="22310" xr:uid="{00000000-0005-0000-0000-0000C5580000}"/>
    <cellStyle name="Акцент2 104" xfId="22311" xr:uid="{00000000-0005-0000-0000-0000C6580000}"/>
    <cellStyle name="Акцент2 105" xfId="22312" xr:uid="{00000000-0005-0000-0000-0000C7580000}"/>
    <cellStyle name="Акцент2 106" xfId="22313" xr:uid="{00000000-0005-0000-0000-0000C8580000}"/>
    <cellStyle name="Акцент2 107" xfId="22314" xr:uid="{00000000-0005-0000-0000-0000C9580000}"/>
    <cellStyle name="Акцент2 108" xfId="22315" xr:uid="{00000000-0005-0000-0000-0000CA580000}"/>
    <cellStyle name="Акцент2 109" xfId="22316" xr:uid="{00000000-0005-0000-0000-0000CB580000}"/>
    <cellStyle name="Акцент2 11" xfId="22317" xr:uid="{00000000-0005-0000-0000-0000CC580000}"/>
    <cellStyle name="Акцент2 11 2" xfId="26845" xr:uid="{00000000-0005-0000-0000-0000CD580000}"/>
    <cellStyle name="Акцент2 110" xfId="22318" xr:uid="{00000000-0005-0000-0000-0000CE580000}"/>
    <cellStyle name="Акцент2 111" xfId="22319" xr:uid="{00000000-0005-0000-0000-0000CF580000}"/>
    <cellStyle name="Акцент2 112" xfId="22320" xr:uid="{00000000-0005-0000-0000-0000D0580000}"/>
    <cellStyle name="Акцент2 113" xfId="22321" xr:uid="{00000000-0005-0000-0000-0000D1580000}"/>
    <cellStyle name="Акцент2 114" xfId="22322" xr:uid="{00000000-0005-0000-0000-0000D2580000}"/>
    <cellStyle name="Акцент2 115" xfId="22323" xr:uid="{00000000-0005-0000-0000-0000D3580000}"/>
    <cellStyle name="Акцент2 116" xfId="22324" xr:uid="{00000000-0005-0000-0000-0000D4580000}"/>
    <cellStyle name="Акцент2 117" xfId="22325" xr:uid="{00000000-0005-0000-0000-0000D5580000}"/>
    <cellStyle name="Акцент2 118" xfId="22326" xr:uid="{00000000-0005-0000-0000-0000D6580000}"/>
    <cellStyle name="Акцент2 119" xfId="22327" xr:uid="{00000000-0005-0000-0000-0000D7580000}"/>
    <cellStyle name="Акцент2 12" xfId="22328" xr:uid="{00000000-0005-0000-0000-0000D8580000}"/>
    <cellStyle name="Акцент2 12 2" xfId="26850" xr:uid="{00000000-0005-0000-0000-0000D9580000}"/>
    <cellStyle name="Акцент2 120" xfId="22329" xr:uid="{00000000-0005-0000-0000-0000DA580000}"/>
    <cellStyle name="Акцент2 121" xfId="22330" xr:uid="{00000000-0005-0000-0000-0000DB580000}"/>
    <cellStyle name="Акцент2 122" xfId="22331" xr:uid="{00000000-0005-0000-0000-0000DC580000}"/>
    <cellStyle name="Акцент2 123" xfId="22332" xr:uid="{00000000-0005-0000-0000-0000DD580000}"/>
    <cellStyle name="Акцент2 124" xfId="22333" xr:uid="{00000000-0005-0000-0000-0000DE580000}"/>
    <cellStyle name="Акцент2 125" xfId="22334" xr:uid="{00000000-0005-0000-0000-0000DF580000}"/>
    <cellStyle name="Акцент2 126" xfId="22335" xr:uid="{00000000-0005-0000-0000-0000E0580000}"/>
    <cellStyle name="Акцент2 127" xfId="22336" xr:uid="{00000000-0005-0000-0000-0000E1580000}"/>
    <cellStyle name="Акцент2 128" xfId="22337" xr:uid="{00000000-0005-0000-0000-0000E2580000}"/>
    <cellStyle name="Акцент2 129" xfId="22338" xr:uid="{00000000-0005-0000-0000-0000E3580000}"/>
    <cellStyle name="Акцент2 13" xfId="22339" xr:uid="{00000000-0005-0000-0000-0000E4580000}"/>
    <cellStyle name="Акцент2 13 2" xfId="26886" xr:uid="{00000000-0005-0000-0000-0000E5580000}"/>
    <cellStyle name="Акцент2 130" xfId="22340" xr:uid="{00000000-0005-0000-0000-0000E6580000}"/>
    <cellStyle name="Акцент2 131" xfId="22341" xr:uid="{00000000-0005-0000-0000-0000E7580000}"/>
    <cellStyle name="Акцент2 132" xfId="22342" xr:uid="{00000000-0005-0000-0000-0000E8580000}"/>
    <cellStyle name="Акцент2 133" xfId="22343" xr:uid="{00000000-0005-0000-0000-0000E9580000}"/>
    <cellStyle name="Акцент2 134" xfId="22344" xr:uid="{00000000-0005-0000-0000-0000EA580000}"/>
    <cellStyle name="Акцент2 135" xfId="22345" xr:uid="{00000000-0005-0000-0000-0000EB580000}"/>
    <cellStyle name="Акцент2 136" xfId="22346" xr:uid="{00000000-0005-0000-0000-0000EC580000}"/>
    <cellStyle name="Акцент2 137" xfId="22347" xr:uid="{00000000-0005-0000-0000-0000ED580000}"/>
    <cellStyle name="Акцент2 138" xfId="22348" xr:uid="{00000000-0005-0000-0000-0000EE580000}"/>
    <cellStyle name="Акцент2 139" xfId="22349" xr:uid="{00000000-0005-0000-0000-0000EF580000}"/>
    <cellStyle name="Акцент2 14" xfId="22350" xr:uid="{00000000-0005-0000-0000-0000F0580000}"/>
    <cellStyle name="Акцент2 14 2" xfId="26892" xr:uid="{00000000-0005-0000-0000-0000F1580000}"/>
    <cellStyle name="Акцент2 140" xfId="22351" xr:uid="{00000000-0005-0000-0000-0000F2580000}"/>
    <cellStyle name="Акцент2 141" xfId="22352" xr:uid="{00000000-0005-0000-0000-0000F3580000}"/>
    <cellStyle name="Акцент2 142" xfId="22353" xr:uid="{00000000-0005-0000-0000-0000F4580000}"/>
    <cellStyle name="Акцент2 143" xfId="22354" xr:uid="{00000000-0005-0000-0000-0000F5580000}"/>
    <cellStyle name="Акцент2 144" xfId="22355" xr:uid="{00000000-0005-0000-0000-0000F6580000}"/>
    <cellStyle name="Акцент2 145" xfId="22356" xr:uid="{00000000-0005-0000-0000-0000F7580000}"/>
    <cellStyle name="Акцент2 146" xfId="22357" xr:uid="{00000000-0005-0000-0000-0000F8580000}"/>
    <cellStyle name="Акцент2 147" xfId="22358" xr:uid="{00000000-0005-0000-0000-0000F9580000}"/>
    <cellStyle name="Акцент2 148" xfId="22359" xr:uid="{00000000-0005-0000-0000-0000FA580000}"/>
    <cellStyle name="Акцент2 149" xfId="22360" xr:uid="{00000000-0005-0000-0000-0000FB580000}"/>
    <cellStyle name="Акцент2 15" xfId="22361" xr:uid="{00000000-0005-0000-0000-0000FC580000}"/>
    <cellStyle name="Акцент2 15 2" xfId="26898" xr:uid="{00000000-0005-0000-0000-0000FD580000}"/>
    <cellStyle name="Акцент2 150" xfId="22362" xr:uid="{00000000-0005-0000-0000-0000FE580000}"/>
    <cellStyle name="Акцент2 151" xfId="22363" xr:uid="{00000000-0005-0000-0000-0000FF580000}"/>
    <cellStyle name="Акцент2 152" xfId="22364" xr:uid="{00000000-0005-0000-0000-000000590000}"/>
    <cellStyle name="Акцент2 153" xfId="22365" xr:uid="{00000000-0005-0000-0000-000001590000}"/>
    <cellStyle name="Акцент2 154" xfId="22366" xr:uid="{00000000-0005-0000-0000-000002590000}"/>
    <cellStyle name="Акцент2 155" xfId="22367" xr:uid="{00000000-0005-0000-0000-000003590000}"/>
    <cellStyle name="Акцент2 156" xfId="22368" xr:uid="{00000000-0005-0000-0000-000004590000}"/>
    <cellStyle name="Акцент2 157" xfId="22369" xr:uid="{00000000-0005-0000-0000-000005590000}"/>
    <cellStyle name="Акцент2 158" xfId="22370" xr:uid="{00000000-0005-0000-0000-000006590000}"/>
    <cellStyle name="Акцент2 159" xfId="22371" xr:uid="{00000000-0005-0000-0000-000007590000}"/>
    <cellStyle name="Акцент2 16" xfId="22372" xr:uid="{00000000-0005-0000-0000-000008590000}"/>
    <cellStyle name="Акцент2 16 2" xfId="26934" xr:uid="{00000000-0005-0000-0000-000009590000}"/>
    <cellStyle name="Акцент2 160" xfId="22373" xr:uid="{00000000-0005-0000-0000-00000A590000}"/>
    <cellStyle name="Акцент2 161" xfId="22374" xr:uid="{00000000-0005-0000-0000-00000B590000}"/>
    <cellStyle name="Акцент2 162" xfId="22375" xr:uid="{00000000-0005-0000-0000-00000C590000}"/>
    <cellStyle name="Акцент2 163" xfId="22376" xr:uid="{00000000-0005-0000-0000-00000D590000}"/>
    <cellStyle name="Акцент2 164" xfId="22377" xr:uid="{00000000-0005-0000-0000-00000E590000}"/>
    <cellStyle name="Акцент2 165" xfId="22378" xr:uid="{00000000-0005-0000-0000-00000F590000}"/>
    <cellStyle name="Акцент2 166" xfId="22379" xr:uid="{00000000-0005-0000-0000-000010590000}"/>
    <cellStyle name="Акцент2 167" xfId="22380" xr:uid="{00000000-0005-0000-0000-000011590000}"/>
    <cellStyle name="Акцент2 168" xfId="22381" xr:uid="{00000000-0005-0000-0000-000012590000}"/>
    <cellStyle name="Акцент2 169" xfId="22382" xr:uid="{00000000-0005-0000-0000-000013590000}"/>
    <cellStyle name="Акцент2 17" xfId="22383" xr:uid="{00000000-0005-0000-0000-000014590000}"/>
    <cellStyle name="Акцент2 17 2" xfId="26940" xr:uid="{00000000-0005-0000-0000-000015590000}"/>
    <cellStyle name="Акцент2 170" xfId="22384" xr:uid="{00000000-0005-0000-0000-000016590000}"/>
    <cellStyle name="Акцент2 171" xfId="22385" xr:uid="{00000000-0005-0000-0000-000017590000}"/>
    <cellStyle name="Акцент2 172" xfId="22386" xr:uid="{00000000-0005-0000-0000-000018590000}"/>
    <cellStyle name="Акцент2 173" xfId="22304" xr:uid="{00000000-0005-0000-0000-000019590000}"/>
    <cellStyle name="Акцент2 18" xfId="22387" xr:uid="{00000000-0005-0000-0000-00001A590000}"/>
    <cellStyle name="Акцент2 18 2" xfId="26948" xr:uid="{00000000-0005-0000-0000-00001B590000}"/>
    <cellStyle name="Акцент2 19" xfId="22388" xr:uid="{00000000-0005-0000-0000-00001C590000}"/>
    <cellStyle name="Акцент2 19 2" xfId="26998" xr:uid="{00000000-0005-0000-0000-00001D590000}"/>
    <cellStyle name="Акцент2 2" xfId="22389" xr:uid="{00000000-0005-0000-0000-00001E590000}"/>
    <cellStyle name="Акцент2 2 2" xfId="22390" xr:uid="{00000000-0005-0000-0000-00001F590000}"/>
    <cellStyle name="Акцент2 2 3" xfId="22391" xr:uid="{00000000-0005-0000-0000-000020590000}"/>
    <cellStyle name="Акцент2 20" xfId="22392" xr:uid="{00000000-0005-0000-0000-000021590000}"/>
    <cellStyle name="Акцент2 20 2" xfId="27012" xr:uid="{00000000-0005-0000-0000-000022590000}"/>
    <cellStyle name="Акцент2 21" xfId="22393" xr:uid="{00000000-0005-0000-0000-000023590000}"/>
    <cellStyle name="Акцент2 21 2" xfId="27024" xr:uid="{00000000-0005-0000-0000-000024590000}"/>
    <cellStyle name="Акцент2 22" xfId="22394" xr:uid="{00000000-0005-0000-0000-000025590000}"/>
    <cellStyle name="Акцент2 22 2" xfId="27031" xr:uid="{00000000-0005-0000-0000-000026590000}"/>
    <cellStyle name="Акцент2 23" xfId="22395" xr:uid="{00000000-0005-0000-0000-000027590000}"/>
    <cellStyle name="Акцент2 23 2" xfId="27037" xr:uid="{00000000-0005-0000-0000-000028590000}"/>
    <cellStyle name="Акцент2 24" xfId="22396" xr:uid="{00000000-0005-0000-0000-000029590000}"/>
    <cellStyle name="Акцент2 24 2" xfId="27043" xr:uid="{00000000-0005-0000-0000-00002A590000}"/>
    <cellStyle name="Акцент2 25" xfId="22397" xr:uid="{00000000-0005-0000-0000-00002B590000}"/>
    <cellStyle name="Акцент2 25 2" xfId="27088" xr:uid="{00000000-0005-0000-0000-00002C590000}"/>
    <cellStyle name="Акцент2 26" xfId="22398" xr:uid="{00000000-0005-0000-0000-00002D590000}"/>
    <cellStyle name="Акцент2 26 2" xfId="27095" xr:uid="{00000000-0005-0000-0000-00002E590000}"/>
    <cellStyle name="Акцент2 27" xfId="22399" xr:uid="{00000000-0005-0000-0000-00002F590000}"/>
    <cellStyle name="Акцент2 27 2" xfId="27101" xr:uid="{00000000-0005-0000-0000-000030590000}"/>
    <cellStyle name="Акцент2 28" xfId="22400" xr:uid="{00000000-0005-0000-0000-000031590000}"/>
    <cellStyle name="Акцент2 28 2" xfId="27108" xr:uid="{00000000-0005-0000-0000-000032590000}"/>
    <cellStyle name="Акцент2 29" xfId="22401" xr:uid="{00000000-0005-0000-0000-000033590000}"/>
    <cellStyle name="Акцент2 29 2" xfId="27145" xr:uid="{00000000-0005-0000-0000-000034590000}"/>
    <cellStyle name="Акцент2 3" xfId="22402" xr:uid="{00000000-0005-0000-0000-000035590000}"/>
    <cellStyle name="Акцент2 3 2" xfId="22403" xr:uid="{00000000-0005-0000-0000-000036590000}"/>
    <cellStyle name="Акцент2 3 3" xfId="22404" xr:uid="{00000000-0005-0000-0000-000037590000}"/>
    <cellStyle name="Акцент2 30" xfId="22405" xr:uid="{00000000-0005-0000-0000-000038590000}"/>
    <cellStyle name="Акцент2 30 2" xfId="27151" xr:uid="{00000000-0005-0000-0000-000039590000}"/>
    <cellStyle name="Акцент2 31" xfId="22406" xr:uid="{00000000-0005-0000-0000-00003A590000}"/>
    <cellStyle name="Акцент2 31 2" xfId="27156" xr:uid="{00000000-0005-0000-0000-00003B590000}"/>
    <cellStyle name="Акцент2 32" xfId="22407" xr:uid="{00000000-0005-0000-0000-00003C590000}"/>
    <cellStyle name="Акцент2 32 2" xfId="27172" xr:uid="{00000000-0005-0000-0000-00003D590000}"/>
    <cellStyle name="Акцент2 33" xfId="22408" xr:uid="{00000000-0005-0000-0000-00003E590000}"/>
    <cellStyle name="Акцент2 33 2" xfId="27194" xr:uid="{00000000-0005-0000-0000-00003F590000}"/>
    <cellStyle name="Акцент2 34" xfId="22409" xr:uid="{00000000-0005-0000-0000-000040590000}"/>
    <cellStyle name="Акцент2 34 2" xfId="27206" xr:uid="{00000000-0005-0000-0000-000041590000}"/>
    <cellStyle name="Акцент2 35" xfId="22410" xr:uid="{00000000-0005-0000-0000-000042590000}"/>
    <cellStyle name="Акцент2 35 2" xfId="27249" xr:uid="{00000000-0005-0000-0000-000043590000}"/>
    <cellStyle name="Акцент2 36" xfId="22411" xr:uid="{00000000-0005-0000-0000-000044590000}"/>
    <cellStyle name="Акцент2 36 2" xfId="27264" xr:uid="{00000000-0005-0000-0000-000045590000}"/>
    <cellStyle name="Акцент2 37" xfId="22412" xr:uid="{00000000-0005-0000-0000-000046590000}"/>
    <cellStyle name="Акцент2 37 2" xfId="27325" xr:uid="{00000000-0005-0000-0000-000047590000}"/>
    <cellStyle name="Акцент2 38" xfId="22413" xr:uid="{00000000-0005-0000-0000-000048590000}"/>
    <cellStyle name="Акцент2 38 2" xfId="27333" xr:uid="{00000000-0005-0000-0000-000049590000}"/>
    <cellStyle name="Акцент2 39" xfId="22414" xr:uid="{00000000-0005-0000-0000-00004A590000}"/>
    <cellStyle name="Акцент2 39 2" xfId="27340" xr:uid="{00000000-0005-0000-0000-00004B590000}"/>
    <cellStyle name="Акцент2 4" xfId="22415" xr:uid="{00000000-0005-0000-0000-00004C590000}"/>
    <cellStyle name="Акцент2 4 2" xfId="22416" xr:uid="{00000000-0005-0000-0000-00004D590000}"/>
    <cellStyle name="Акцент2 40" xfId="22417" xr:uid="{00000000-0005-0000-0000-00004E590000}"/>
    <cellStyle name="Акцент2 40 2" xfId="27351" xr:uid="{00000000-0005-0000-0000-00004F590000}"/>
    <cellStyle name="Акцент2 41" xfId="22418" xr:uid="{00000000-0005-0000-0000-000050590000}"/>
    <cellStyle name="Акцент2 41 2" xfId="27403" xr:uid="{00000000-0005-0000-0000-000051590000}"/>
    <cellStyle name="Акцент2 42" xfId="22419" xr:uid="{00000000-0005-0000-0000-000052590000}"/>
    <cellStyle name="Акцент2 42 2" xfId="27428" xr:uid="{00000000-0005-0000-0000-000053590000}"/>
    <cellStyle name="Акцент2 43" xfId="22420" xr:uid="{00000000-0005-0000-0000-000054590000}"/>
    <cellStyle name="Акцент2 43 2" xfId="27435" xr:uid="{00000000-0005-0000-0000-000055590000}"/>
    <cellStyle name="Акцент2 44" xfId="22421" xr:uid="{00000000-0005-0000-0000-000056590000}"/>
    <cellStyle name="Акцент2 44 2" xfId="27446" xr:uid="{00000000-0005-0000-0000-000057590000}"/>
    <cellStyle name="Акцент2 45" xfId="22422" xr:uid="{00000000-0005-0000-0000-000058590000}"/>
    <cellStyle name="Акцент2 45 2" xfId="27455" xr:uid="{00000000-0005-0000-0000-000059590000}"/>
    <cellStyle name="Акцент2 46" xfId="22423" xr:uid="{00000000-0005-0000-0000-00005A590000}"/>
    <cellStyle name="Акцент2 46 2" xfId="27516" xr:uid="{00000000-0005-0000-0000-00005B590000}"/>
    <cellStyle name="Акцент2 47" xfId="22424" xr:uid="{00000000-0005-0000-0000-00005C590000}"/>
    <cellStyle name="Акцент2 47 2" xfId="27524" xr:uid="{00000000-0005-0000-0000-00005D590000}"/>
    <cellStyle name="Акцент2 48" xfId="22425" xr:uid="{00000000-0005-0000-0000-00005E590000}"/>
    <cellStyle name="Акцент2 48 2" xfId="27531" xr:uid="{00000000-0005-0000-0000-00005F590000}"/>
    <cellStyle name="Акцент2 49" xfId="22426" xr:uid="{00000000-0005-0000-0000-000060590000}"/>
    <cellStyle name="Акцент2 49 2" xfId="27541" xr:uid="{00000000-0005-0000-0000-000061590000}"/>
    <cellStyle name="Акцент2 5" xfId="22427" xr:uid="{00000000-0005-0000-0000-000062590000}"/>
    <cellStyle name="Акцент2 5 2" xfId="22428" xr:uid="{00000000-0005-0000-0000-000063590000}"/>
    <cellStyle name="Акцент2 50" xfId="22429" xr:uid="{00000000-0005-0000-0000-000064590000}"/>
    <cellStyle name="Акцент2 50 2" xfId="27606" xr:uid="{00000000-0005-0000-0000-000065590000}"/>
    <cellStyle name="Акцент2 51" xfId="22430" xr:uid="{00000000-0005-0000-0000-000066590000}"/>
    <cellStyle name="Акцент2 51 2" xfId="27619" xr:uid="{00000000-0005-0000-0000-000067590000}"/>
    <cellStyle name="Акцент2 52" xfId="22431" xr:uid="{00000000-0005-0000-0000-000068590000}"/>
    <cellStyle name="Акцент2 52 2" xfId="27637" xr:uid="{00000000-0005-0000-0000-000069590000}"/>
    <cellStyle name="Акцент2 53" xfId="22432" xr:uid="{00000000-0005-0000-0000-00006A590000}"/>
    <cellStyle name="Акцент2 53 2" xfId="27641" xr:uid="{00000000-0005-0000-0000-00006B590000}"/>
    <cellStyle name="Акцент2 54" xfId="22433" xr:uid="{00000000-0005-0000-0000-00006C590000}"/>
    <cellStyle name="Акцент2 54 2" xfId="27653" xr:uid="{00000000-0005-0000-0000-00006D590000}"/>
    <cellStyle name="Акцент2 55" xfId="22434" xr:uid="{00000000-0005-0000-0000-00006E590000}"/>
    <cellStyle name="Акцент2 55 2" xfId="27719" xr:uid="{00000000-0005-0000-0000-00006F590000}"/>
    <cellStyle name="Акцент2 56" xfId="22435" xr:uid="{00000000-0005-0000-0000-000070590000}"/>
    <cellStyle name="Акцент2 56 2" xfId="27733" xr:uid="{00000000-0005-0000-0000-000071590000}"/>
    <cellStyle name="Акцент2 57" xfId="22436" xr:uid="{00000000-0005-0000-0000-000072590000}"/>
    <cellStyle name="Акцент2 57 2" xfId="27741" xr:uid="{00000000-0005-0000-0000-000073590000}"/>
    <cellStyle name="Акцент2 58" xfId="22437" xr:uid="{00000000-0005-0000-0000-000074590000}"/>
    <cellStyle name="Акцент2 58 2" xfId="27748" xr:uid="{00000000-0005-0000-0000-000075590000}"/>
    <cellStyle name="Акцент2 59" xfId="22438" xr:uid="{00000000-0005-0000-0000-000076590000}"/>
    <cellStyle name="Акцент2 59 2" xfId="27755" xr:uid="{00000000-0005-0000-0000-000077590000}"/>
    <cellStyle name="Акцент2 6" xfId="22439" xr:uid="{00000000-0005-0000-0000-000078590000}"/>
    <cellStyle name="Акцент2 6 2" xfId="22440" xr:uid="{00000000-0005-0000-0000-000079590000}"/>
    <cellStyle name="Акцент2 60" xfId="22441" xr:uid="{00000000-0005-0000-0000-00007A590000}"/>
    <cellStyle name="Акцент2 61" xfId="22442" xr:uid="{00000000-0005-0000-0000-00007B590000}"/>
    <cellStyle name="Акцент2 62" xfId="22443" xr:uid="{00000000-0005-0000-0000-00007C590000}"/>
    <cellStyle name="Акцент2 63" xfId="22444" xr:uid="{00000000-0005-0000-0000-00007D590000}"/>
    <cellStyle name="Акцент2 64" xfId="22445" xr:uid="{00000000-0005-0000-0000-00007E590000}"/>
    <cellStyle name="Акцент2 65" xfId="22446" xr:uid="{00000000-0005-0000-0000-00007F590000}"/>
    <cellStyle name="Акцент2 66" xfId="22447" xr:uid="{00000000-0005-0000-0000-000080590000}"/>
    <cellStyle name="Акцент2 67" xfId="22448" xr:uid="{00000000-0005-0000-0000-000081590000}"/>
    <cellStyle name="Акцент2 68" xfId="22449" xr:uid="{00000000-0005-0000-0000-000082590000}"/>
    <cellStyle name="Акцент2 69" xfId="22450" xr:uid="{00000000-0005-0000-0000-000083590000}"/>
    <cellStyle name="Акцент2 7" xfId="22451" xr:uid="{00000000-0005-0000-0000-000084590000}"/>
    <cellStyle name="Акцент2 7 2" xfId="22452" xr:uid="{00000000-0005-0000-0000-000085590000}"/>
    <cellStyle name="Акцент2 70" xfId="22453" xr:uid="{00000000-0005-0000-0000-000086590000}"/>
    <cellStyle name="Акцент2 71" xfId="22454" xr:uid="{00000000-0005-0000-0000-000087590000}"/>
    <cellStyle name="Акцент2 72" xfId="22455" xr:uid="{00000000-0005-0000-0000-000088590000}"/>
    <cellStyle name="Акцент2 73" xfId="22456" xr:uid="{00000000-0005-0000-0000-000089590000}"/>
    <cellStyle name="Акцент2 74" xfId="22457" xr:uid="{00000000-0005-0000-0000-00008A590000}"/>
    <cellStyle name="Акцент2 75" xfId="22458" xr:uid="{00000000-0005-0000-0000-00008B590000}"/>
    <cellStyle name="Акцент2 76" xfId="22459" xr:uid="{00000000-0005-0000-0000-00008C590000}"/>
    <cellStyle name="Акцент2 77" xfId="22460" xr:uid="{00000000-0005-0000-0000-00008D590000}"/>
    <cellStyle name="Акцент2 78" xfId="22461" xr:uid="{00000000-0005-0000-0000-00008E590000}"/>
    <cellStyle name="Акцент2 79" xfId="22462" xr:uid="{00000000-0005-0000-0000-00008F590000}"/>
    <cellStyle name="Акцент2 8" xfId="22463" xr:uid="{00000000-0005-0000-0000-000090590000}"/>
    <cellStyle name="Акцент2 8 2" xfId="22464" xr:uid="{00000000-0005-0000-0000-000091590000}"/>
    <cellStyle name="Акцент2 80" xfId="22465" xr:uid="{00000000-0005-0000-0000-000092590000}"/>
    <cellStyle name="Акцент2 81" xfId="22466" xr:uid="{00000000-0005-0000-0000-000093590000}"/>
    <cellStyle name="Акцент2 82" xfId="22467" xr:uid="{00000000-0005-0000-0000-000094590000}"/>
    <cellStyle name="Акцент2 83" xfId="22468" xr:uid="{00000000-0005-0000-0000-000095590000}"/>
    <cellStyle name="Акцент2 84" xfId="22469" xr:uid="{00000000-0005-0000-0000-000096590000}"/>
    <cellStyle name="Акцент2 85" xfId="22470" xr:uid="{00000000-0005-0000-0000-000097590000}"/>
    <cellStyle name="Акцент2 86" xfId="22471" xr:uid="{00000000-0005-0000-0000-000098590000}"/>
    <cellStyle name="Акцент2 87" xfId="22472" xr:uid="{00000000-0005-0000-0000-000099590000}"/>
    <cellStyle name="Акцент2 88" xfId="22473" xr:uid="{00000000-0005-0000-0000-00009A590000}"/>
    <cellStyle name="Акцент2 89" xfId="22474" xr:uid="{00000000-0005-0000-0000-00009B590000}"/>
    <cellStyle name="Акцент2 9" xfId="22475" xr:uid="{00000000-0005-0000-0000-00009C590000}"/>
    <cellStyle name="Акцент2 9 2" xfId="22476" xr:uid="{00000000-0005-0000-0000-00009D590000}"/>
    <cellStyle name="Акцент2 90" xfId="22477" xr:uid="{00000000-0005-0000-0000-00009E590000}"/>
    <cellStyle name="Акцент2 91" xfId="22478" xr:uid="{00000000-0005-0000-0000-00009F590000}"/>
    <cellStyle name="Акцент2 92" xfId="22479" xr:uid="{00000000-0005-0000-0000-0000A0590000}"/>
    <cellStyle name="Акцент2 93" xfId="22480" xr:uid="{00000000-0005-0000-0000-0000A1590000}"/>
    <cellStyle name="Акцент2 94" xfId="22481" xr:uid="{00000000-0005-0000-0000-0000A2590000}"/>
    <cellStyle name="Акцент2 95" xfId="22482" xr:uid="{00000000-0005-0000-0000-0000A3590000}"/>
    <cellStyle name="Акцент2 96" xfId="22483" xr:uid="{00000000-0005-0000-0000-0000A4590000}"/>
    <cellStyle name="Акцент2 97" xfId="22484" xr:uid="{00000000-0005-0000-0000-0000A5590000}"/>
    <cellStyle name="Акцент2 98" xfId="22485" xr:uid="{00000000-0005-0000-0000-0000A6590000}"/>
    <cellStyle name="Акцент2 99" xfId="22486" xr:uid="{00000000-0005-0000-0000-0000A7590000}"/>
    <cellStyle name="Акцент3 10" xfId="22487" xr:uid="{00000000-0005-0000-0000-0000A8590000}"/>
    <cellStyle name="Акцент3 10 2" xfId="22488" xr:uid="{00000000-0005-0000-0000-0000A9590000}"/>
    <cellStyle name="Акцент3 100" xfId="22489" xr:uid="{00000000-0005-0000-0000-0000AA590000}"/>
    <cellStyle name="Акцент3 101" xfId="22490" xr:uid="{00000000-0005-0000-0000-0000AB590000}"/>
    <cellStyle name="Акцент3 102" xfId="22491" xr:uid="{00000000-0005-0000-0000-0000AC590000}"/>
    <cellStyle name="Акцент3 103" xfId="22492" xr:uid="{00000000-0005-0000-0000-0000AD590000}"/>
    <cellStyle name="Акцент3 104" xfId="22493" xr:uid="{00000000-0005-0000-0000-0000AE590000}"/>
    <cellStyle name="Акцент3 105" xfId="22494" xr:uid="{00000000-0005-0000-0000-0000AF590000}"/>
    <cellStyle name="Акцент3 106" xfId="22495" xr:uid="{00000000-0005-0000-0000-0000B0590000}"/>
    <cellStyle name="Акцент3 107" xfId="22496" xr:uid="{00000000-0005-0000-0000-0000B1590000}"/>
    <cellStyle name="Акцент3 108" xfId="22497" xr:uid="{00000000-0005-0000-0000-0000B2590000}"/>
    <cellStyle name="Акцент3 109" xfId="22498" xr:uid="{00000000-0005-0000-0000-0000B3590000}"/>
    <cellStyle name="Акцент3 11" xfId="22499" xr:uid="{00000000-0005-0000-0000-0000B4590000}"/>
    <cellStyle name="Акцент3 11 2" xfId="26844" xr:uid="{00000000-0005-0000-0000-0000B5590000}"/>
    <cellStyle name="Акцент3 110" xfId="22500" xr:uid="{00000000-0005-0000-0000-0000B6590000}"/>
    <cellStyle name="Акцент3 111" xfId="22501" xr:uid="{00000000-0005-0000-0000-0000B7590000}"/>
    <cellStyle name="Акцент3 112" xfId="22502" xr:uid="{00000000-0005-0000-0000-0000B8590000}"/>
    <cellStyle name="Акцент3 113" xfId="22503" xr:uid="{00000000-0005-0000-0000-0000B9590000}"/>
    <cellStyle name="Акцент3 114" xfId="22504" xr:uid="{00000000-0005-0000-0000-0000BA590000}"/>
    <cellStyle name="Акцент3 115" xfId="22505" xr:uid="{00000000-0005-0000-0000-0000BB590000}"/>
    <cellStyle name="Акцент3 116" xfId="22506" xr:uid="{00000000-0005-0000-0000-0000BC590000}"/>
    <cellStyle name="Акцент3 117" xfId="22507" xr:uid="{00000000-0005-0000-0000-0000BD590000}"/>
    <cellStyle name="Акцент3 118" xfId="22508" xr:uid="{00000000-0005-0000-0000-0000BE590000}"/>
    <cellStyle name="Акцент3 119" xfId="22509" xr:uid="{00000000-0005-0000-0000-0000BF590000}"/>
    <cellStyle name="Акцент3 12" xfId="22510" xr:uid="{00000000-0005-0000-0000-0000C0590000}"/>
    <cellStyle name="Акцент3 12 2" xfId="26852" xr:uid="{00000000-0005-0000-0000-0000C1590000}"/>
    <cellStyle name="Акцент3 120" xfId="22511" xr:uid="{00000000-0005-0000-0000-0000C2590000}"/>
    <cellStyle name="Акцент3 121" xfId="22512" xr:uid="{00000000-0005-0000-0000-0000C3590000}"/>
    <cellStyle name="Акцент3 122" xfId="22513" xr:uid="{00000000-0005-0000-0000-0000C4590000}"/>
    <cellStyle name="Акцент3 123" xfId="22514" xr:uid="{00000000-0005-0000-0000-0000C5590000}"/>
    <cellStyle name="Акцент3 124" xfId="22515" xr:uid="{00000000-0005-0000-0000-0000C6590000}"/>
    <cellStyle name="Акцент3 125" xfId="22516" xr:uid="{00000000-0005-0000-0000-0000C7590000}"/>
    <cellStyle name="Акцент3 126" xfId="22517" xr:uid="{00000000-0005-0000-0000-0000C8590000}"/>
    <cellStyle name="Акцент3 127" xfId="22518" xr:uid="{00000000-0005-0000-0000-0000C9590000}"/>
    <cellStyle name="Акцент3 128" xfId="22519" xr:uid="{00000000-0005-0000-0000-0000CA590000}"/>
    <cellStyle name="Акцент3 129" xfId="22520" xr:uid="{00000000-0005-0000-0000-0000CB590000}"/>
    <cellStyle name="Акцент3 13" xfId="22521" xr:uid="{00000000-0005-0000-0000-0000CC590000}"/>
    <cellStyle name="Акцент3 13 2" xfId="26885" xr:uid="{00000000-0005-0000-0000-0000CD590000}"/>
    <cellStyle name="Акцент3 130" xfId="22522" xr:uid="{00000000-0005-0000-0000-0000CE590000}"/>
    <cellStyle name="Акцент3 131" xfId="22523" xr:uid="{00000000-0005-0000-0000-0000CF590000}"/>
    <cellStyle name="Акцент3 132" xfId="22524" xr:uid="{00000000-0005-0000-0000-0000D0590000}"/>
    <cellStyle name="Акцент3 133" xfId="22525" xr:uid="{00000000-0005-0000-0000-0000D1590000}"/>
    <cellStyle name="Акцент3 134" xfId="22526" xr:uid="{00000000-0005-0000-0000-0000D2590000}"/>
    <cellStyle name="Акцент3 135" xfId="22527" xr:uid="{00000000-0005-0000-0000-0000D3590000}"/>
    <cellStyle name="Акцент3 136" xfId="22528" xr:uid="{00000000-0005-0000-0000-0000D4590000}"/>
    <cellStyle name="Акцент3 137" xfId="22529" xr:uid="{00000000-0005-0000-0000-0000D5590000}"/>
    <cellStyle name="Акцент3 138" xfId="22530" xr:uid="{00000000-0005-0000-0000-0000D6590000}"/>
    <cellStyle name="Акцент3 139" xfId="22531" xr:uid="{00000000-0005-0000-0000-0000D7590000}"/>
    <cellStyle name="Акцент3 14" xfId="22532" xr:uid="{00000000-0005-0000-0000-0000D8590000}"/>
    <cellStyle name="Акцент3 14 2" xfId="26891" xr:uid="{00000000-0005-0000-0000-0000D9590000}"/>
    <cellStyle name="Акцент3 140" xfId="22533" xr:uid="{00000000-0005-0000-0000-0000DA590000}"/>
    <cellStyle name="Акцент3 141" xfId="22534" xr:uid="{00000000-0005-0000-0000-0000DB590000}"/>
    <cellStyle name="Акцент3 142" xfId="22535" xr:uid="{00000000-0005-0000-0000-0000DC590000}"/>
    <cellStyle name="Акцент3 143" xfId="22536" xr:uid="{00000000-0005-0000-0000-0000DD590000}"/>
    <cellStyle name="Акцент3 144" xfId="22537" xr:uid="{00000000-0005-0000-0000-0000DE590000}"/>
    <cellStyle name="Акцент3 145" xfId="22538" xr:uid="{00000000-0005-0000-0000-0000DF590000}"/>
    <cellStyle name="Акцент3 146" xfId="22539" xr:uid="{00000000-0005-0000-0000-0000E0590000}"/>
    <cellStyle name="Акцент3 147" xfId="22540" xr:uid="{00000000-0005-0000-0000-0000E1590000}"/>
    <cellStyle name="Акцент3 148" xfId="22541" xr:uid="{00000000-0005-0000-0000-0000E2590000}"/>
    <cellStyle name="Акцент3 149" xfId="22542" xr:uid="{00000000-0005-0000-0000-0000E3590000}"/>
    <cellStyle name="Акцент3 15" xfId="22543" xr:uid="{00000000-0005-0000-0000-0000E4590000}"/>
    <cellStyle name="Акцент3 15 2" xfId="26900" xr:uid="{00000000-0005-0000-0000-0000E5590000}"/>
    <cellStyle name="Акцент3 150" xfId="22544" xr:uid="{00000000-0005-0000-0000-0000E6590000}"/>
    <cellStyle name="Акцент3 151" xfId="22545" xr:uid="{00000000-0005-0000-0000-0000E7590000}"/>
    <cellStyle name="Акцент3 152" xfId="22546" xr:uid="{00000000-0005-0000-0000-0000E8590000}"/>
    <cellStyle name="Акцент3 153" xfId="22547" xr:uid="{00000000-0005-0000-0000-0000E9590000}"/>
    <cellStyle name="Акцент3 154" xfId="22548" xr:uid="{00000000-0005-0000-0000-0000EA590000}"/>
    <cellStyle name="Акцент3 155" xfId="22549" xr:uid="{00000000-0005-0000-0000-0000EB590000}"/>
    <cellStyle name="Акцент3 156" xfId="22550" xr:uid="{00000000-0005-0000-0000-0000EC590000}"/>
    <cellStyle name="Акцент3 157" xfId="22551" xr:uid="{00000000-0005-0000-0000-0000ED590000}"/>
    <cellStyle name="Акцент3 158" xfId="22552" xr:uid="{00000000-0005-0000-0000-0000EE590000}"/>
    <cellStyle name="Акцент3 159" xfId="22553" xr:uid="{00000000-0005-0000-0000-0000EF590000}"/>
    <cellStyle name="Акцент3 16" xfId="22554" xr:uid="{00000000-0005-0000-0000-0000F0590000}"/>
    <cellStyle name="Акцент3 16 2" xfId="26933" xr:uid="{00000000-0005-0000-0000-0000F1590000}"/>
    <cellStyle name="Акцент3 160" xfId="22555" xr:uid="{00000000-0005-0000-0000-0000F2590000}"/>
    <cellStyle name="Акцент3 161" xfId="22556" xr:uid="{00000000-0005-0000-0000-0000F3590000}"/>
    <cellStyle name="Акцент3 162" xfId="22557" xr:uid="{00000000-0005-0000-0000-0000F4590000}"/>
    <cellStyle name="Акцент3 163" xfId="22558" xr:uid="{00000000-0005-0000-0000-0000F5590000}"/>
    <cellStyle name="Акцент3 164" xfId="22559" xr:uid="{00000000-0005-0000-0000-0000F6590000}"/>
    <cellStyle name="Акцент3 165" xfId="22560" xr:uid="{00000000-0005-0000-0000-0000F7590000}"/>
    <cellStyle name="Акцент3 166" xfId="22561" xr:uid="{00000000-0005-0000-0000-0000F8590000}"/>
    <cellStyle name="Акцент3 167" xfId="22562" xr:uid="{00000000-0005-0000-0000-0000F9590000}"/>
    <cellStyle name="Акцент3 168" xfId="22563" xr:uid="{00000000-0005-0000-0000-0000FA590000}"/>
    <cellStyle name="Акцент3 169" xfId="22564" xr:uid="{00000000-0005-0000-0000-0000FB590000}"/>
    <cellStyle name="Акцент3 17" xfId="22565" xr:uid="{00000000-0005-0000-0000-0000FC590000}"/>
    <cellStyle name="Акцент3 17 2" xfId="26939" xr:uid="{00000000-0005-0000-0000-0000FD590000}"/>
    <cellStyle name="Акцент3 170" xfId="22566" xr:uid="{00000000-0005-0000-0000-0000FE590000}"/>
    <cellStyle name="Акцент3 171" xfId="22567" xr:uid="{00000000-0005-0000-0000-0000FF590000}"/>
    <cellStyle name="Акцент3 172" xfId="22568" xr:uid="{00000000-0005-0000-0000-0000005A0000}"/>
    <cellStyle name="Акцент3 18" xfId="22569" xr:uid="{00000000-0005-0000-0000-0000015A0000}"/>
    <cellStyle name="Акцент3 18 2" xfId="26951" xr:uid="{00000000-0005-0000-0000-0000025A0000}"/>
    <cellStyle name="Акцент3 19" xfId="22570" xr:uid="{00000000-0005-0000-0000-0000035A0000}"/>
    <cellStyle name="Акцент3 19 2" xfId="26995" xr:uid="{00000000-0005-0000-0000-0000045A0000}"/>
    <cellStyle name="Акцент3 2" xfId="22571" xr:uid="{00000000-0005-0000-0000-0000055A0000}"/>
    <cellStyle name="Акцент3 2 2" xfId="22572" xr:uid="{00000000-0005-0000-0000-0000065A0000}"/>
    <cellStyle name="Акцент3 2 3" xfId="22573" xr:uid="{00000000-0005-0000-0000-0000075A0000}"/>
    <cellStyle name="Акцент3 20" xfId="22574" xr:uid="{00000000-0005-0000-0000-0000085A0000}"/>
    <cellStyle name="Акцент3 20 2" xfId="27010" xr:uid="{00000000-0005-0000-0000-0000095A0000}"/>
    <cellStyle name="Акцент3 21" xfId="22575" xr:uid="{00000000-0005-0000-0000-00000A5A0000}"/>
    <cellStyle name="Акцент3 21 2" xfId="27022" xr:uid="{00000000-0005-0000-0000-00000B5A0000}"/>
    <cellStyle name="Акцент3 22" xfId="22576" xr:uid="{00000000-0005-0000-0000-00000C5A0000}"/>
    <cellStyle name="Акцент3 22 2" xfId="27030" xr:uid="{00000000-0005-0000-0000-00000D5A0000}"/>
    <cellStyle name="Акцент3 23" xfId="22577" xr:uid="{00000000-0005-0000-0000-00000E5A0000}"/>
    <cellStyle name="Акцент3 23 2" xfId="27036" xr:uid="{00000000-0005-0000-0000-00000F5A0000}"/>
    <cellStyle name="Акцент3 24" xfId="22578" xr:uid="{00000000-0005-0000-0000-0000105A0000}"/>
    <cellStyle name="Акцент3 24 2" xfId="27045" xr:uid="{00000000-0005-0000-0000-0000115A0000}"/>
    <cellStyle name="Акцент3 25" xfId="22579" xr:uid="{00000000-0005-0000-0000-0000125A0000}"/>
    <cellStyle name="Акцент3 25 2" xfId="27086" xr:uid="{00000000-0005-0000-0000-0000135A0000}"/>
    <cellStyle name="Акцент3 26" xfId="22580" xr:uid="{00000000-0005-0000-0000-0000145A0000}"/>
    <cellStyle name="Акцент3 26 2" xfId="27094" xr:uid="{00000000-0005-0000-0000-0000155A0000}"/>
    <cellStyle name="Акцент3 27" xfId="22581" xr:uid="{00000000-0005-0000-0000-0000165A0000}"/>
    <cellStyle name="Акцент3 27 2" xfId="27100" xr:uid="{00000000-0005-0000-0000-0000175A0000}"/>
    <cellStyle name="Акцент3 28" xfId="22582" xr:uid="{00000000-0005-0000-0000-0000185A0000}"/>
    <cellStyle name="Акцент3 28 2" xfId="27110" xr:uid="{00000000-0005-0000-0000-0000195A0000}"/>
    <cellStyle name="Акцент3 29" xfId="22583" xr:uid="{00000000-0005-0000-0000-00001A5A0000}"/>
    <cellStyle name="Акцент3 29 2" xfId="27144" xr:uid="{00000000-0005-0000-0000-00001B5A0000}"/>
    <cellStyle name="Акцент3 3" xfId="22584" xr:uid="{00000000-0005-0000-0000-00001C5A0000}"/>
    <cellStyle name="Акцент3 3 2" xfId="22585" xr:uid="{00000000-0005-0000-0000-00001D5A0000}"/>
    <cellStyle name="Акцент3 3 3" xfId="22586" xr:uid="{00000000-0005-0000-0000-00001E5A0000}"/>
    <cellStyle name="Акцент3 30" xfId="22587" xr:uid="{00000000-0005-0000-0000-00001F5A0000}"/>
    <cellStyle name="Акцент3 30 2" xfId="27150" xr:uid="{00000000-0005-0000-0000-0000205A0000}"/>
    <cellStyle name="Акцент3 31" xfId="22588" xr:uid="{00000000-0005-0000-0000-0000215A0000}"/>
    <cellStyle name="Акцент3 31 2" xfId="27157" xr:uid="{00000000-0005-0000-0000-0000225A0000}"/>
    <cellStyle name="Акцент3 32" xfId="22589" xr:uid="{00000000-0005-0000-0000-0000235A0000}"/>
    <cellStyle name="Акцент3 32 2" xfId="27173" xr:uid="{00000000-0005-0000-0000-0000245A0000}"/>
    <cellStyle name="Акцент3 33" xfId="22590" xr:uid="{00000000-0005-0000-0000-0000255A0000}"/>
    <cellStyle name="Акцент3 33 2" xfId="27196" xr:uid="{00000000-0005-0000-0000-0000265A0000}"/>
    <cellStyle name="Акцент3 34" xfId="22591" xr:uid="{00000000-0005-0000-0000-0000275A0000}"/>
    <cellStyle name="Акцент3 34 2" xfId="27202" xr:uid="{00000000-0005-0000-0000-0000285A0000}"/>
    <cellStyle name="Акцент3 35" xfId="22592" xr:uid="{00000000-0005-0000-0000-0000295A0000}"/>
    <cellStyle name="Акцент3 35 2" xfId="27248" xr:uid="{00000000-0005-0000-0000-00002A5A0000}"/>
    <cellStyle name="Акцент3 36" xfId="22593" xr:uid="{00000000-0005-0000-0000-00002B5A0000}"/>
    <cellStyle name="Акцент3 36 2" xfId="27266" xr:uid="{00000000-0005-0000-0000-00002C5A0000}"/>
    <cellStyle name="Акцент3 37" xfId="22594" xr:uid="{00000000-0005-0000-0000-00002D5A0000}"/>
    <cellStyle name="Акцент3 37 2" xfId="27324" xr:uid="{00000000-0005-0000-0000-00002E5A0000}"/>
    <cellStyle name="Акцент3 38" xfId="22595" xr:uid="{00000000-0005-0000-0000-00002F5A0000}"/>
    <cellStyle name="Акцент3 38 2" xfId="27332" xr:uid="{00000000-0005-0000-0000-0000305A0000}"/>
    <cellStyle name="Акцент3 39" xfId="22596" xr:uid="{00000000-0005-0000-0000-0000315A0000}"/>
    <cellStyle name="Акцент3 39 2" xfId="27339" xr:uid="{00000000-0005-0000-0000-0000325A0000}"/>
    <cellStyle name="Акцент3 4" xfId="22597" xr:uid="{00000000-0005-0000-0000-0000335A0000}"/>
    <cellStyle name="Акцент3 4 2" xfId="22598" xr:uid="{00000000-0005-0000-0000-0000345A0000}"/>
    <cellStyle name="Акцент3 40" xfId="22599" xr:uid="{00000000-0005-0000-0000-0000355A0000}"/>
    <cellStyle name="Акцент3 40 2" xfId="27355" xr:uid="{00000000-0005-0000-0000-0000365A0000}"/>
    <cellStyle name="Акцент3 41" xfId="22600" xr:uid="{00000000-0005-0000-0000-0000375A0000}"/>
    <cellStyle name="Акцент3 41 2" xfId="27401" xr:uid="{00000000-0005-0000-0000-0000385A0000}"/>
    <cellStyle name="Акцент3 42" xfId="22601" xr:uid="{00000000-0005-0000-0000-0000395A0000}"/>
    <cellStyle name="Акцент3 42 2" xfId="27424" xr:uid="{00000000-0005-0000-0000-00003A5A0000}"/>
    <cellStyle name="Акцент3 43" xfId="22602" xr:uid="{00000000-0005-0000-0000-00003B5A0000}"/>
    <cellStyle name="Акцент3 43 2" xfId="27434" xr:uid="{00000000-0005-0000-0000-00003C5A0000}"/>
    <cellStyle name="Акцент3 44" xfId="22603" xr:uid="{00000000-0005-0000-0000-00003D5A0000}"/>
    <cellStyle name="Акцент3 44 2" xfId="27445" xr:uid="{00000000-0005-0000-0000-00003E5A0000}"/>
    <cellStyle name="Акцент3 45" xfId="22604" xr:uid="{00000000-0005-0000-0000-00003F5A0000}"/>
    <cellStyle name="Акцент3 45 2" xfId="27458" xr:uid="{00000000-0005-0000-0000-0000405A0000}"/>
    <cellStyle name="Акцент3 46" xfId="22605" xr:uid="{00000000-0005-0000-0000-0000415A0000}"/>
    <cellStyle name="Акцент3 46 2" xfId="27514" xr:uid="{00000000-0005-0000-0000-0000425A0000}"/>
    <cellStyle name="Акцент3 47" xfId="22606" xr:uid="{00000000-0005-0000-0000-0000435A0000}"/>
    <cellStyle name="Акцент3 47 2" xfId="27523" xr:uid="{00000000-0005-0000-0000-0000445A0000}"/>
    <cellStyle name="Акцент3 48" xfId="22607" xr:uid="{00000000-0005-0000-0000-0000455A0000}"/>
    <cellStyle name="Акцент3 48 2" xfId="27530" xr:uid="{00000000-0005-0000-0000-0000465A0000}"/>
    <cellStyle name="Акцент3 49" xfId="22608" xr:uid="{00000000-0005-0000-0000-0000475A0000}"/>
    <cellStyle name="Акцент3 49 2" xfId="27545" xr:uid="{00000000-0005-0000-0000-0000485A0000}"/>
    <cellStyle name="Акцент3 5" xfId="22609" xr:uid="{00000000-0005-0000-0000-0000495A0000}"/>
    <cellStyle name="Акцент3 5 2" xfId="22610" xr:uid="{00000000-0005-0000-0000-00004A5A0000}"/>
    <cellStyle name="Акцент3 50" xfId="22611" xr:uid="{00000000-0005-0000-0000-00004B5A0000}"/>
    <cellStyle name="Акцент3 50 2" xfId="27604" xr:uid="{00000000-0005-0000-0000-00004C5A0000}"/>
    <cellStyle name="Акцент3 51" xfId="22612" xr:uid="{00000000-0005-0000-0000-00004D5A0000}"/>
    <cellStyle name="Акцент3 51 2" xfId="27617" xr:uid="{00000000-0005-0000-0000-00004E5A0000}"/>
    <cellStyle name="Акцент3 52" xfId="22613" xr:uid="{00000000-0005-0000-0000-00004F5A0000}"/>
    <cellStyle name="Акцент3 52 2" xfId="27635" xr:uid="{00000000-0005-0000-0000-0000505A0000}"/>
    <cellStyle name="Акцент3 53" xfId="22614" xr:uid="{00000000-0005-0000-0000-0000515A0000}"/>
    <cellStyle name="Акцент3 53 2" xfId="27620" xr:uid="{00000000-0005-0000-0000-0000525A0000}"/>
    <cellStyle name="Акцент3 54" xfId="22615" xr:uid="{00000000-0005-0000-0000-0000535A0000}"/>
    <cellStyle name="Акцент3 54 2" xfId="27657" xr:uid="{00000000-0005-0000-0000-0000545A0000}"/>
    <cellStyle name="Акцент3 55" xfId="22616" xr:uid="{00000000-0005-0000-0000-0000555A0000}"/>
    <cellStyle name="Акцент3 55 2" xfId="27717" xr:uid="{00000000-0005-0000-0000-0000565A0000}"/>
    <cellStyle name="Акцент3 56" xfId="22617" xr:uid="{00000000-0005-0000-0000-0000575A0000}"/>
    <cellStyle name="Акцент3 56 2" xfId="27731" xr:uid="{00000000-0005-0000-0000-0000585A0000}"/>
    <cellStyle name="Акцент3 57" xfId="22618" xr:uid="{00000000-0005-0000-0000-0000595A0000}"/>
    <cellStyle name="Акцент3 57 2" xfId="27740" xr:uid="{00000000-0005-0000-0000-00005A5A0000}"/>
    <cellStyle name="Акцент3 58" xfId="22619" xr:uid="{00000000-0005-0000-0000-00005B5A0000}"/>
    <cellStyle name="Акцент3 58 2" xfId="27747" xr:uid="{00000000-0005-0000-0000-00005C5A0000}"/>
    <cellStyle name="Акцент3 59" xfId="22620" xr:uid="{00000000-0005-0000-0000-00005D5A0000}"/>
    <cellStyle name="Акцент3 59 2" xfId="27756" xr:uid="{00000000-0005-0000-0000-00005E5A0000}"/>
    <cellStyle name="Акцент3 6" xfId="22621" xr:uid="{00000000-0005-0000-0000-00005F5A0000}"/>
    <cellStyle name="Акцент3 6 2" xfId="22622" xr:uid="{00000000-0005-0000-0000-0000605A0000}"/>
    <cellStyle name="Акцент3 60" xfId="22623" xr:uid="{00000000-0005-0000-0000-0000615A0000}"/>
    <cellStyle name="Акцент3 61" xfId="22624" xr:uid="{00000000-0005-0000-0000-0000625A0000}"/>
    <cellStyle name="Акцент3 62" xfId="22625" xr:uid="{00000000-0005-0000-0000-0000635A0000}"/>
    <cellStyle name="Акцент3 63" xfId="22626" xr:uid="{00000000-0005-0000-0000-0000645A0000}"/>
    <cellStyle name="Акцент3 64" xfId="22627" xr:uid="{00000000-0005-0000-0000-0000655A0000}"/>
    <cellStyle name="Акцент3 65" xfId="22628" xr:uid="{00000000-0005-0000-0000-0000665A0000}"/>
    <cellStyle name="Акцент3 66" xfId="22629" xr:uid="{00000000-0005-0000-0000-0000675A0000}"/>
    <cellStyle name="Акцент3 67" xfId="22630" xr:uid="{00000000-0005-0000-0000-0000685A0000}"/>
    <cellStyle name="Акцент3 68" xfId="22631" xr:uid="{00000000-0005-0000-0000-0000695A0000}"/>
    <cellStyle name="Акцент3 69" xfId="22632" xr:uid="{00000000-0005-0000-0000-00006A5A0000}"/>
    <cellStyle name="Акцент3 7" xfId="22633" xr:uid="{00000000-0005-0000-0000-00006B5A0000}"/>
    <cellStyle name="Акцент3 7 2" xfId="22634" xr:uid="{00000000-0005-0000-0000-00006C5A0000}"/>
    <cellStyle name="Акцент3 70" xfId="22635" xr:uid="{00000000-0005-0000-0000-00006D5A0000}"/>
    <cellStyle name="Акцент3 71" xfId="22636" xr:uid="{00000000-0005-0000-0000-00006E5A0000}"/>
    <cellStyle name="Акцент3 72" xfId="22637" xr:uid="{00000000-0005-0000-0000-00006F5A0000}"/>
    <cellStyle name="Акцент3 73" xfId="22638" xr:uid="{00000000-0005-0000-0000-0000705A0000}"/>
    <cellStyle name="Акцент3 74" xfId="22639" xr:uid="{00000000-0005-0000-0000-0000715A0000}"/>
    <cellStyle name="Акцент3 75" xfId="22640" xr:uid="{00000000-0005-0000-0000-0000725A0000}"/>
    <cellStyle name="Акцент3 76" xfId="22641" xr:uid="{00000000-0005-0000-0000-0000735A0000}"/>
    <cellStyle name="Акцент3 77" xfId="22642" xr:uid="{00000000-0005-0000-0000-0000745A0000}"/>
    <cellStyle name="Акцент3 78" xfId="22643" xr:uid="{00000000-0005-0000-0000-0000755A0000}"/>
    <cellStyle name="Акцент3 79" xfId="22644" xr:uid="{00000000-0005-0000-0000-0000765A0000}"/>
    <cellStyle name="Акцент3 8" xfId="22645" xr:uid="{00000000-0005-0000-0000-0000775A0000}"/>
    <cellStyle name="Акцент3 8 2" xfId="22646" xr:uid="{00000000-0005-0000-0000-0000785A0000}"/>
    <cellStyle name="Акцент3 80" xfId="22647" xr:uid="{00000000-0005-0000-0000-0000795A0000}"/>
    <cellStyle name="Акцент3 81" xfId="22648" xr:uid="{00000000-0005-0000-0000-00007A5A0000}"/>
    <cellStyle name="Акцент3 82" xfId="22649" xr:uid="{00000000-0005-0000-0000-00007B5A0000}"/>
    <cellStyle name="Акцент3 83" xfId="22650" xr:uid="{00000000-0005-0000-0000-00007C5A0000}"/>
    <cellStyle name="Акцент3 84" xfId="22651" xr:uid="{00000000-0005-0000-0000-00007D5A0000}"/>
    <cellStyle name="Акцент3 85" xfId="22652" xr:uid="{00000000-0005-0000-0000-00007E5A0000}"/>
    <cellStyle name="Акцент3 86" xfId="22653" xr:uid="{00000000-0005-0000-0000-00007F5A0000}"/>
    <cellStyle name="Акцент3 87" xfId="22654" xr:uid="{00000000-0005-0000-0000-0000805A0000}"/>
    <cellStyle name="Акцент3 88" xfId="22655" xr:uid="{00000000-0005-0000-0000-0000815A0000}"/>
    <cellStyle name="Акцент3 89" xfId="22656" xr:uid="{00000000-0005-0000-0000-0000825A0000}"/>
    <cellStyle name="Акцент3 9" xfId="22657" xr:uid="{00000000-0005-0000-0000-0000835A0000}"/>
    <cellStyle name="Акцент3 9 2" xfId="22658" xr:uid="{00000000-0005-0000-0000-0000845A0000}"/>
    <cellStyle name="Акцент3 90" xfId="22659" xr:uid="{00000000-0005-0000-0000-0000855A0000}"/>
    <cellStyle name="Акцент3 91" xfId="22660" xr:uid="{00000000-0005-0000-0000-0000865A0000}"/>
    <cellStyle name="Акцент3 92" xfId="22661" xr:uid="{00000000-0005-0000-0000-0000875A0000}"/>
    <cellStyle name="Акцент3 93" xfId="22662" xr:uid="{00000000-0005-0000-0000-0000885A0000}"/>
    <cellStyle name="Акцент3 94" xfId="22663" xr:uid="{00000000-0005-0000-0000-0000895A0000}"/>
    <cellStyle name="Акцент3 95" xfId="22664" xr:uid="{00000000-0005-0000-0000-00008A5A0000}"/>
    <cellStyle name="Акцент3 96" xfId="22665" xr:uid="{00000000-0005-0000-0000-00008B5A0000}"/>
    <cellStyle name="Акцент3 97" xfId="22666" xr:uid="{00000000-0005-0000-0000-00008C5A0000}"/>
    <cellStyle name="Акцент3 98" xfId="22667" xr:uid="{00000000-0005-0000-0000-00008D5A0000}"/>
    <cellStyle name="Акцент3 99" xfId="22668" xr:uid="{00000000-0005-0000-0000-00008E5A0000}"/>
    <cellStyle name="Акцент4 10" xfId="22670" xr:uid="{00000000-0005-0000-0000-00008F5A0000}"/>
    <cellStyle name="Акцент4 10 2" xfId="22671" xr:uid="{00000000-0005-0000-0000-0000905A0000}"/>
    <cellStyle name="Акцент4 100" xfId="22672" xr:uid="{00000000-0005-0000-0000-0000915A0000}"/>
    <cellStyle name="Акцент4 101" xfId="22673" xr:uid="{00000000-0005-0000-0000-0000925A0000}"/>
    <cellStyle name="Акцент4 102" xfId="22674" xr:uid="{00000000-0005-0000-0000-0000935A0000}"/>
    <cellStyle name="Акцент4 103" xfId="22675" xr:uid="{00000000-0005-0000-0000-0000945A0000}"/>
    <cellStyle name="Акцент4 104" xfId="22676" xr:uid="{00000000-0005-0000-0000-0000955A0000}"/>
    <cellStyle name="Акцент4 105" xfId="22677" xr:uid="{00000000-0005-0000-0000-0000965A0000}"/>
    <cellStyle name="Акцент4 106" xfId="22678" xr:uid="{00000000-0005-0000-0000-0000975A0000}"/>
    <cellStyle name="Акцент4 107" xfId="22679" xr:uid="{00000000-0005-0000-0000-0000985A0000}"/>
    <cellStyle name="Акцент4 108" xfId="22680" xr:uid="{00000000-0005-0000-0000-0000995A0000}"/>
    <cellStyle name="Акцент4 109" xfId="22681" xr:uid="{00000000-0005-0000-0000-00009A5A0000}"/>
    <cellStyle name="Акцент4 11" xfId="22682" xr:uid="{00000000-0005-0000-0000-00009B5A0000}"/>
    <cellStyle name="Акцент4 11 2" xfId="26843" xr:uid="{00000000-0005-0000-0000-00009C5A0000}"/>
    <cellStyle name="Акцент4 110" xfId="22683" xr:uid="{00000000-0005-0000-0000-00009D5A0000}"/>
    <cellStyle name="Акцент4 111" xfId="22684" xr:uid="{00000000-0005-0000-0000-00009E5A0000}"/>
    <cellStyle name="Акцент4 112" xfId="22685" xr:uid="{00000000-0005-0000-0000-00009F5A0000}"/>
    <cellStyle name="Акцент4 113" xfId="22686" xr:uid="{00000000-0005-0000-0000-0000A05A0000}"/>
    <cellStyle name="Акцент4 114" xfId="22687" xr:uid="{00000000-0005-0000-0000-0000A15A0000}"/>
    <cellStyle name="Акцент4 115" xfId="22688" xr:uid="{00000000-0005-0000-0000-0000A25A0000}"/>
    <cellStyle name="Акцент4 116" xfId="22689" xr:uid="{00000000-0005-0000-0000-0000A35A0000}"/>
    <cellStyle name="Акцент4 117" xfId="22690" xr:uid="{00000000-0005-0000-0000-0000A45A0000}"/>
    <cellStyle name="Акцент4 118" xfId="22691" xr:uid="{00000000-0005-0000-0000-0000A55A0000}"/>
    <cellStyle name="Акцент4 119" xfId="22692" xr:uid="{00000000-0005-0000-0000-0000A65A0000}"/>
    <cellStyle name="Акцент4 12" xfId="22693" xr:uid="{00000000-0005-0000-0000-0000A75A0000}"/>
    <cellStyle name="Акцент4 12 2" xfId="26854" xr:uid="{00000000-0005-0000-0000-0000A85A0000}"/>
    <cellStyle name="Акцент4 120" xfId="22694" xr:uid="{00000000-0005-0000-0000-0000A95A0000}"/>
    <cellStyle name="Акцент4 121" xfId="22695" xr:uid="{00000000-0005-0000-0000-0000AA5A0000}"/>
    <cellStyle name="Акцент4 122" xfId="22696" xr:uid="{00000000-0005-0000-0000-0000AB5A0000}"/>
    <cellStyle name="Акцент4 123" xfId="22697" xr:uid="{00000000-0005-0000-0000-0000AC5A0000}"/>
    <cellStyle name="Акцент4 124" xfId="22698" xr:uid="{00000000-0005-0000-0000-0000AD5A0000}"/>
    <cellStyle name="Акцент4 125" xfId="22699" xr:uid="{00000000-0005-0000-0000-0000AE5A0000}"/>
    <cellStyle name="Акцент4 126" xfId="22700" xr:uid="{00000000-0005-0000-0000-0000AF5A0000}"/>
    <cellStyle name="Акцент4 127" xfId="22701" xr:uid="{00000000-0005-0000-0000-0000B05A0000}"/>
    <cellStyle name="Акцент4 128" xfId="22702" xr:uid="{00000000-0005-0000-0000-0000B15A0000}"/>
    <cellStyle name="Акцент4 129" xfId="22703" xr:uid="{00000000-0005-0000-0000-0000B25A0000}"/>
    <cellStyle name="Акцент4 13" xfId="22704" xr:uid="{00000000-0005-0000-0000-0000B35A0000}"/>
    <cellStyle name="Акцент4 13 2" xfId="26884" xr:uid="{00000000-0005-0000-0000-0000B45A0000}"/>
    <cellStyle name="Акцент4 130" xfId="22705" xr:uid="{00000000-0005-0000-0000-0000B55A0000}"/>
    <cellStyle name="Акцент4 131" xfId="22706" xr:uid="{00000000-0005-0000-0000-0000B65A0000}"/>
    <cellStyle name="Акцент4 132" xfId="22707" xr:uid="{00000000-0005-0000-0000-0000B75A0000}"/>
    <cellStyle name="Акцент4 133" xfId="22708" xr:uid="{00000000-0005-0000-0000-0000B85A0000}"/>
    <cellStyle name="Акцент4 134" xfId="22709" xr:uid="{00000000-0005-0000-0000-0000B95A0000}"/>
    <cellStyle name="Акцент4 135" xfId="22710" xr:uid="{00000000-0005-0000-0000-0000BA5A0000}"/>
    <cellStyle name="Акцент4 136" xfId="22711" xr:uid="{00000000-0005-0000-0000-0000BB5A0000}"/>
    <cellStyle name="Акцент4 137" xfId="22712" xr:uid="{00000000-0005-0000-0000-0000BC5A0000}"/>
    <cellStyle name="Акцент4 138" xfId="22713" xr:uid="{00000000-0005-0000-0000-0000BD5A0000}"/>
    <cellStyle name="Акцент4 139" xfId="22714" xr:uid="{00000000-0005-0000-0000-0000BE5A0000}"/>
    <cellStyle name="Акцент4 14" xfId="22715" xr:uid="{00000000-0005-0000-0000-0000BF5A0000}"/>
    <cellStyle name="Акцент4 14 2" xfId="26890" xr:uid="{00000000-0005-0000-0000-0000C05A0000}"/>
    <cellStyle name="Акцент4 140" xfId="22716" xr:uid="{00000000-0005-0000-0000-0000C15A0000}"/>
    <cellStyle name="Акцент4 141" xfId="22717" xr:uid="{00000000-0005-0000-0000-0000C25A0000}"/>
    <cellStyle name="Акцент4 142" xfId="22718" xr:uid="{00000000-0005-0000-0000-0000C35A0000}"/>
    <cellStyle name="Акцент4 143" xfId="22719" xr:uid="{00000000-0005-0000-0000-0000C45A0000}"/>
    <cellStyle name="Акцент4 144" xfId="22720" xr:uid="{00000000-0005-0000-0000-0000C55A0000}"/>
    <cellStyle name="Акцент4 145" xfId="22721" xr:uid="{00000000-0005-0000-0000-0000C65A0000}"/>
    <cellStyle name="Акцент4 146" xfId="22722" xr:uid="{00000000-0005-0000-0000-0000C75A0000}"/>
    <cellStyle name="Акцент4 147" xfId="22723" xr:uid="{00000000-0005-0000-0000-0000C85A0000}"/>
    <cellStyle name="Акцент4 148" xfId="22724" xr:uid="{00000000-0005-0000-0000-0000C95A0000}"/>
    <cellStyle name="Акцент4 149" xfId="22725" xr:uid="{00000000-0005-0000-0000-0000CA5A0000}"/>
    <cellStyle name="Акцент4 15" xfId="22726" xr:uid="{00000000-0005-0000-0000-0000CB5A0000}"/>
    <cellStyle name="Акцент4 15 2" xfId="26902" xr:uid="{00000000-0005-0000-0000-0000CC5A0000}"/>
    <cellStyle name="Акцент4 150" xfId="22727" xr:uid="{00000000-0005-0000-0000-0000CD5A0000}"/>
    <cellStyle name="Акцент4 151" xfId="22728" xr:uid="{00000000-0005-0000-0000-0000CE5A0000}"/>
    <cellStyle name="Акцент4 152" xfId="22729" xr:uid="{00000000-0005-0000-0000-0000CF5A0000}"/>
    <cellStyle name="Акцент4 153" xfId="22730" xr:uid="{00000000-0005-0000-0000-0000D05A0000}"/>
    <cellStyle name="Акцент4 154" xfId="22731" xr:uid="{00000000-0005-0000-0000-0000D15A0000}"/>
    <cellStyle name="Акцент4 155" xfId="22732" xr:uid="{00000000-0005-0000-0000-0000D25A0000}"/>
    <cellStyle name="Акцент4 156" xfId="22733" xr:uid="{00000000-0005-0000-0000-0000D35A0000}"/>
    <cellStyle name="Акцент4 157" xfId="22734" xr:uid="{00000000-0005-0000-0000-0000D45A0000}"/>
    <cellStyle name="Акцент4 158" xfId="22735" xr:uid="{00000000-0005-0000-0000-0000D55A0000}"/>
    <cellStyle name="Акцент4 159" xfId="22736" xr:uid="{00000000-0005-0000-0000-0000D65A0000}"/>
    <cellStyle name="Акцент4 16" xfId="22737" xr:uid="{00000000-0005-0000-0000-0000D75A0000}"/>
    <cellStyle name="Акцент4 16 2" xfId="26932" xr:uid="{00000000-0005-0000-0000-0000D85A0000}"/>
    <cellStyle name="Акцент4 160" xfId="22738" xr:uid="{00000000-0005-0000-0000-0000D95A0000}"/>
    <cellStyle name="Акцент4 161" xfId="22739" xr:uid="{00000000-0005-0000-0000-0000DA5A0000}"/>
    <cellStyle name="Акцент4 162" xfId="22740" xr:uid="{00000000-0005-0000-0000-0000DB5A0000}"/>
    <cellStyle name="Акцент4 163" xfId="22741" xr:uid="{00000000-0005-0000-0000-0000DC5A0000}"/>
    <cellStyle name="Акцент4 164" xfId="22742" xr:uid="{00000000-0005-0000-0000-0000DD5A0000}"/>
    <cellStyle name="Акцент4 165" xfId="22743" xr:uid="{00000000-0005-0000-0000-0000DE5A0000}"/>
    <cellStyle name="Акцент4 166" xfId="22744" xr:uid="{00000000-0005-0000-0000-0000DF5A0000}"/>
    <cellStyle name="Акцент4 167" xfId="22745" xr:uid="{00000000-0005-0000-0000-0000E05A0000}"/>
    <cellStyle name="Акцент4 168" xfId="22746" xr:uid="{00000000-0005-0000-0000-0000E15A0000}"/>
    <cellStyle name="Акцент4 169" xfId="22747" xr:uid="{00000000-0005-0000-0000-0000E25A0000}"/>
    <cellStyle name="Акцент4 17" xfId="22748" xr:uid="{00000000-0005-0000-0000-0000E35A0000}"/>
    <cellStyle name="Акцент4 17 2" xfId="26938" xr:uid="{00000000-0005-0000-0000-0000E45A0000}"/>
    <cellStyle name="Акцент4 170" xfId="22749" xr:uid="{00000000-0005-0000-0000-0000E55A0000}"/>
    <cellStyle name="Акцент4 171" xfId="22750" xr:uid="{00000000-0005-0000-0000-0000E65A0000}"/>
    <cellStyle name="Акцент4 172" xfId="22751" xr:uid="{00000000-0005-0000-0000-0000E75A0000}"/>
    <cellStyle name="Акцент4 173" xfId="22669" xr:uid="{00000000-0005-0000-0000-0000E85A0000}"/>
    <cellStyle name="Акцент4 18" xfId="22752" xr:uid="{00000000-0005-0000-0000-0000E95A0000}"/>
    <cellStyle name="Акцент4 18 2" xfId="26954" xr:uid="{00000000-0005-0000-0000-0000EA5A0000}"/>
    <cellStyle name="Акцент4 19" xfId="22753" xr:uid="{00000000-0005-0000-0000-0000EB5A0000}"/>
    <cellStyle name="Акцент4 19 2" xfId="26992" xr:uid="{00000000-0005-0000-0000-0000EC5A0000}"/>
    <cellStyle name="Акцент4 2" xfId="22754" xr:uid="{00000000-0005-0000-0000-0000ED5A0000}"/>
    <cellStyle name="Акцент4 2 2" xfId="22755" xr:uid="{00000000-0005-0000-0000-0000EE5A0000}"/>
    <cellStyle name="Акцент4 2 3" xfId="22756" xr:uid="{00000000-0005-0000-0000-0000EF5A0000}"/>
    <cellStyle name="Акцент4 20" xfId="22757" xr:uid="{00000000-0005-0000-0000-0000F05A0000}"/>
    <cellStyle name="Акцент4 20 2" xfId="27008" xr:uid="{00000000-0005-0000-0000-0000F15A0000}"/>
    <cellStyle name="Акцент4 21" xfId="22758" xr:uid="{00000000-0005-0000-0000-0000F25A0000}"/>
    <cellStyle name="Акцент4 21 2" xfId="27020" xr:uid="{00000000-0005-0000-0000-0000F35A0000}"/>
    <cellStyle name="Акцент4 22" xfId="22759" xr:uid="{00000000-0005-0000-0000-0000F45A0000}"/>
    <cellStyle name="Акцент4 22 2" xfId="27029" xr:uid="{00000000-0005-0000-0000-0000F55A0000}"/>
    <cellStyle name="Акцент4 23" xfId="22760" xr:uid="{00000000-0005-0000-0000-0000F65A0000}"/>
    <cellStyle name="Акцент4 23 2" xfId="27035" xr:uid="{00000000-0005-0000-0000-0000F75A0000}"/>
    <cellStyle name="Акцент4 24" xfId="22761" xr:uid="{00000000-0005-0000-0000-0000F85A0000}"/>
    <cellStyle name="Акцент4 24 2" xfId="27047" xr:uid="{00000000-0005-0000-0000-0000F95A0000}"/>
    <cellStyle name="Акцент4 25" xfId="22762" xr:uid="{00000000-0005-0000-0000-0000FA5A0000}"/>
    <cellStyle name="Акцент4 25 2" xfId="27084" xr:uid="{00000000-0005-0000-0000-0000FB5A0000}"/>
    <cellStyle name="Акцент4 26" xfId="22763" xr:uid="{00000000-0005-0000-0000-0000FC5A0000}"/>
    <cellStyle name="Акцент4 26 2" xfId="27093" xr:uid="{00000000-0005-0000-0000-0000FD5A0000}"/>
    <cellStyle name="Акцент4 27" xfId="22764" xr:uid="{00000000-0005-0000-0000-0000FE5A0000}"/>
    <cellStyle name="Акцент4 27 2" xfId="27099" xr:uid="{00000000-0005-0000-0000-0000FF5A0000}"/>
    <cellStyle name="Акцент4 28" xfId="22765" xr:uid="{00000000-0005-0000-0000-0000005B0000}"/>
    <cellStyle name="Акцент4 28 2" xfId="27112" xr:uid="{00000000-0005-0000-0000-0000015B0000}"/>
    <cellStyle name="Акцент4 29" xfId="22766" xr:uid="{00000000-0005-0000-0000-0000025B0000}"/>
    <cellStyle name="Акцент4 29 2" xfId="27143" xr:uid="{00000000-0005-0000-0000-0000035B0000}"/>
    <cellStyle name="Акцент4 3" xfId="22767" xr:uid="{00000000-0005-0000-0000-0000045B0000}"/>
    <cellStyle name="Акцент4 3 2" xfId="22768" xr:uid="{00000000-0005-0000-0000-0000055B0000}"/>
    <cellStyle name="Акцент4 3 3" xfId="22769" xr:uid="{00000000-0005-0000-0000-0000065B0000}"/>
    <cellStyle name="Акцент4 30" xfId="22770" xr:uid="{00000000-0005-0000-0000-0000075B0000}"/>
    <cellStyle name="Акцент4 30 2" xfId="27149" xr:uid="{00000000-0005-0000-0000-0000085B0000}"/>
    <cellStyle name="Акцент4 31" xfId="22771" xr:uid="{00000000-0005-0000-0000-0000095B0000}"/>
    <cellStyle name="Акцент4 31 2" xfId="27158" xr:uid="{00000000-0005-0000-0000-00000A5B0000}"/>
    <cellStyle name="Акцент4 32" xfId="22772" xr:uid="{00000000-0005-0000-0000-00000B5B0000}"/>
    <cellStyle name="Акцент4 32 2" xfId="27174" xr:uid="{00000000-0005-0000-0000-00000C5B0000}"/>
    <cellStyle name="Акцент4 33" xfId="22773" xr:uid="{00000000-0005-0000-0000-00000D5B0000}"/>
    <cellStyle name="Акцент4 33 2" xfId="27198" xr:uid="{00000000-0005-0000-0000-00000E5B0000}"/>
    <cellStyle name="Акцент4 34" xfId="22774" xr:uid="{00000000-0005-0000-0000-00000F5B0000}"/>
    <cellStyle name="Акцент4 34 2" xfId="27200" xr:uid="{00000000-0005-0000-0000-0000105B0000}"/>
    <cellStyle name="Акцент4 35" xfId="22775" xr:uid="{00000000-0005-0000-0000-0000115B0000}"/>
    <cellStyle name="Акцент4 35 2" xfId="27247" xr:uid="{00000000-0005-0000-0000-0000125B0000}"/>
    <cellStyle name="Акцент4 36" xfId="22776" xr:uid="{00000000-0005-0000-0000-0000135B0000}"/>
    <cellStyle name="Акцент4 36 2" xfId="27269" xr:uid="{00000000-0005-0000-0000-0000145B0000}"/>
    <cellStyle name="Акцент4 37" xfId="22777" xr:uid="{00000000-0005-0000-0000-0000155B0000}"/>
    <cellStyle name="Акцент4 37 2" xfId="27320" xr:uid="{00000000-0005-0000-0000-0000165B0000}"/>
    <cellStyle name="Акцент4 38" xfId="22778" xr:uid="{00000000-0005-0000-0000-0000175B0000}"/>
    <cellStyle name="Акцент4 38 2" xfId="27331" xr:uid="{00000000-0005-0000-0000-0000185B0000}"/>
    <cellStyle name="Акцент4 39" xfId="22779" xr:uid="{00000000-0005-0000-0000-0000195B0000}"/>
    <cellStyle name="Акцент4 39 2" xfId="27338" xr:uid="{00000000-0005-0000-0000-00001A5B0000}"/>
    <cellStyle name="Акцент4 4" xfId="22780" xr:uid="{00000000-0005-0000-0000-00001B5B0000}"/>
    <cellStyle name="Акцент4 4 2" xfId="22781" xr:uid="{00000000-0005-0000-0000-00001C5B0000}"/>
    <cellStyle name="Акцент4 40" xfId="22782" xr:uid="{00000000-0005-0000-0000-00001D5B0000}"/>
    <cellStyle name="Акцент4 40 2" xfId="27359" xr:uid="{00000000-0005-0000-0000-00001E5B0000}"/>
    <cellStyle name="Акцент4 41" xfId="22783" xr:uid="{00000000-0005-0000-0000-00001F5B0000}"/>
    <cellStyle name="Акцент4 41 2" xfId="27398" xr:uid="{00000000-0005-0000-0000-0000205B0000}"/>
    <cellStyle name="Акцент4 42" xfId="22784" xr:uid="{00000000-0005-0000-0000-0000215B0000}"/>
    <cellStyle name="Акцент4 42 2" xfId="27420" xr:uid="{00000000-0005-0000-0000-0000225B0000}"/>
    <cellStyle name="Акцент4 43" xfId="22785" xr:uid="{00000000-0005-0000-0000-0000235B0000}"/>
    <cellStyle name="Акцент4 43 2" xfId="27433" xr:uid="{00000000-0005-0000-0000-0000245B0000}"/>
    <cellStyle name="Акцент4 44" xfId="22786" xr:uid="{00000000-0005-0000-0000-0000255B0000}"/>
    <cellStyle name="Акцент4 44 2" xfId="27444" xr:uid="{00000000-0005-0000-0000-0000265B0000}"/>
    <cellStyle name="Акцент4 45" xfId="22787" xr:uid="{00000000-0005-0000-0000-0000275B0000}"/>
    <cellStyle name="Акцент4 45 2" xfId="27462" xr:uid="{00000000-0005-0000-0000-0000285B0000}"/>
    <cellStyle name="Акцент4 46" xfId="22788" xr:uid="{00000000-0005-0000-0000-0000295B0000}"/>
    <cellStyle name="Акцент4 46 2" xfId="27511" xr:uid="{00000000-0005-0000-0000-00002A5B0000}"/>
    <cellStyle name="Акцент4 47" xfId="22789" xr:uid="{00000000-0005-0000-0000-00002B5B0000}"/>
    <cellStyle name="Акцент4 47 2" xfId="27522" xr:uid="{00000000-0005-0000-0000-00002C5B0000}"/>
    <cellStyle name="Акцент4 48" xfId="22790" xr:uid="{00000000-0005-0000-0000-00002D5B0000}"/>
    <cellStyle name="Акцент4 48 2" xfId="27529" xr:uid="{00000000-0005-0000-0000-00002E5B0000}"/>
    <cellStyle name="Акцент4 49" xfId="22791" xr:uid="{00000000-0005-0000-0000-00002F5B0000}"/>
    <cellStyle name="Акцент4 49 2" xfId="27549" xr:uid="{00000000-0005-0000-0000-0000305B0000}"/>
    <cellStyle name="Акцент4 5" xfId="22792" xr:uid="{00000000-0005-0000-0000-0000315B0000}"/>
    <cellStyle name="Акцент4 5 2" xfId="22793" xr:uid="{00000000-0005-0000-0000-0000325B0000}"/>
    <cellStyle name="Акцент4 50" xfId="22794" xr:uid="{00000000-0005-0000-0000-0000335B0000}"/>
    <cellStyle name="Акцент4 50 2" xfId="27599" xr:uid="{00000000-0005-0000-0000-0000345B0000}"/>
    <cellStyle name="Акцент4 51" xfId="22795" xr:uid="{00000000-0005-0000-0000-0000355B0000}"/>
    <cellStyle name="Акцент4 51 2" xfId="27615" xr:uid="{00000000-0005-0000-0000-0000365B0000}"/>
    <cellStyle name="Акцент4 52" xfId="22796" xr:uid="{00000000-0005-0000-0000-0000375B0000}"/>
    <cellStyle name="Акцент4 52 2" xfId="27630" xr:uid="{00000000-0005-0000-0000-0000385B0000}"/>
    <cellStyle name="Акцент4 53" xfId="22797" xr:uid="{00000000-0005-0000-0000-0000395B0000}"/>
    <cellStyle name="Акцент4 53 2" xfId="27618" xr:uid="{00000000-0005-0000-0000-00003A5B0000}"/>
    <cellStyle name="Акцент4 54" xfId="22798" xr:uid="{00000000-0005-0000-0000-00003B5B0000}"/>
    <cellStyle name="Акцент4 54 2" xfId="27661" xr:uid="{00000000-0005-0000-0000-00003C5B0000}"/>
    <cellStyle name="Акцент4 55" xfId="22799" xr:uid="{00000000-0005-0000-0000-00003D5B0000}"/>
    <cellStyle name="Акцент4 55 2" xfId="27714" xr:uid="{00000000-0005-0000-0000-00003E5B0000}"/>
    <cellStyle name="Акцент4 56" xfId="22800" xr:uid="{00000000-0005-0000-0000-00003F5B0000}"/>
    <cellStyle name="Акцент4 56 2" xfId="27728" xr:uid="{00000000-0005-0000-0000-0000405B0000}"/>
    <cellStyle name="Акцент4 57" xfId="22801" xr:uid="{00000000-0005-0000-0000-0000415B0000}"/>
    <cellStyle name="Акцент4 57 2" xfId="27739" xr:uid="{00000000-0005-0000-0000-0000425B0000}"/>
    <cellStyle name="Акцент4 58" xfId="22802" xr:uid="{00000000-0005-0000-0000-0000435B0000}"/>
    <cellStyle name="Акцент4 58 2" xfId="27746" xr:uid="{00000000-0005-0000-0000-0000445B0000}"/>
    <cellStyle name="Акцент4 59" xfId="22803" xr:uid="{00000000-0005-0000-0000-0000455B0000}"/>
    <cellStyle name="Акцент4 59 2" xfId="27757" xr:uid="{00000000-0005-0000-0000-0000465B0000}"/>
    <cellStyle name="Акцент4 6" xfId="22804" xr:uid="{00000000-0005-0000-0000-0000475B0000}"/>
    <cellStyle name="Акцент4 6 2" xfId="22805" xr:uid="{00000000-0005-0000-0000-0000485B0000}"/>
    <cellStyle name="Акцент4 60" xfId="22806" xr:uid="{00000000-0005-0000-0000-0000495B0000}"/>
    <cellStyle name="Акцент4 61" xfId="22807" xr:uid="{00000000-0005-0000-0000-00004A5B0000}"/>
    <cellStyle name="Акцент4 62" xfId="22808" xr:uid="{00000000-0005-0000-0000-00004B5B0000}"/>
    <cellStyle name="Акцент4 63" xfId="22809" xr:uid="{00000000-0005-0000-0000-00004C5B0000}"/>
    <cellStyle name="Акцент4 64" xfId="22810" xr:uid="{00000000-0005-0000-0000-00004D5B0000}"/>
    <cellStyle name="Акцент4 65" xfId="22811" xr:uid="{00000000-0005-0000-0000-00004E5B0000}"/>
    <cellStyle name="Акцент4 66" xfId="22812" xr:uid="{00000000-0005-0000-0000-00004F5B0000}"/>
    <cellStyle name="Акцент4 67" xfId="22813" xr:uid="{00000000-0005-0000-0000-0000505B0000}"/>
    <cellStyle name="Акцент4 68" xfId="22814" xr:uid="{00000000-0005-0000-0000-0000515B0000}"/>
    <cellStyle name="Акцент4 69" xfId="22815" xr:uid="{00000000-0005-0000-0000-0000525B0000}"/>
    <cellStyle name="Акцент4 7" xfId="22816" xr:uid="{00000000-0005-0000-0000-0000535B0000}"/>
    <cellStyle name="Акцент4 7 2" xfId="22817" xr:uid="{00000000-0005-0000-0000-0000545B0000}"/>
    <cellStyle name="Акцент4 70" xfId="22818" xr:uid="{00000000-0005-0000-0000-0000555B0000}"/>
    <cellStyle name="Акцент4 71" xfId="22819" xr:uid="{00000000-0005-0000-0000-0000565B0000}"/>
    <cellStyle name="Акцент4 72" xfId="22820" xr:uid="{00000000-0005-0000-0000-0000575B0000}"/>
    <cellStyle name="Акцент4 73" xfId="22821" xr:uid="{00000000-0005-0000-0000-0000585B0000}"/>
    <cellStyle name="Акцент4 74" xfId="22822" xr:uid="{00000000-0005-0000-0000-0000595B0000}"/>
    <cellStyle name="Акцент4 75" xfId="22823" xr:uid="{00000000-0005-0000-0000-00005A5B0000}"/>
    <cellStyle name="Акцент4 76" xfId="22824" xr:uid="{00000000-0005-0000-0000-00005B5B0000}"/>
    <cellStyle name="Акцент4 77" xfId="22825" xr:uid="{00000000-0005-0000-0000-00005C5B0000}"/>
    <cellStyle name="Акцент4 78" xfId="22826" xr:uid="{00000000-0005-0000-0000-00005D5B0000}"/>
    <cellStyle name="Акцент4 79" xfId="22827" xr:uid="{00000000-0005-0000-0000-00005E5B0000}"/>
    <cellStyle name="Акцент4 8" xfId="22828" xr:uid="{00000000-0005-0000-0000-00005F5B0000}"/>
    <cellStyle name="Акцент4 8 2" xfId="22829" xr:uid="{00000000-0005-0000-0000-0000605B0000}"/>
    <cellStyle name="Акцент4 80" xfId="22830" xr:uid="{00000000-0005-0000-0000-0000615B0000}"/>
    <cellStyle name="Акцент4 81" xfId="22831" xr:uid="{00000000-0005-0000-0000-0000625B0000}"/>
    <cellStyle name="Акцент4 82" xfId="22832" xr:uid="{00000000-0005-0000-0000-0000635B0000}"/>
    <cellStyle name="Акцент4 83" xfId="22833" xr:uid="{00000000-0005-0000-0000-0000645B0000}"/>
    <cellStyle name="Акцент4 84" xfId="22834" xr:uid="{00000000-0005-0000-0000-0000655B0000}"/>
    <cellStyle name="Акцент4 85" xfId="22835" xr:uid="{00000000-0005-0000-0000-0000665B0000}"/>
    <cellStyle name="Акцент4 86" xfId="22836" xr:uid="{00000000-0005-0000-0000-0000675B0000}"/>
    <cellStyle name="Акцент4 87" xfId="22837" xr:uid="{00000000-0005-0000-0000-0000685B0000}"/>
    <cellStyle name="Акцент4 88" xfId="22838" xr:uid="{00000000-0005-0000-0000-0000695B0000}"/>
    <cellStyle name="Акцент4 89" xfId="22839" xr:uid="{00000000-0005-0000-0000-00006A5B0000}"/>
    <cellStyle name="Акцент4 9" xfId="22840" xr:uid="{00000000-0005-0000-0000-00006B5B0000}"/>
    <cellStyle name="Акцент4 9 2" xfId="22841" xr:uid="{00000000-0005-0000-0000-00006C5B0000}"/>
    <cellStyle name="Акцент4 90" xfId="22842" xr:uid="{00000000-0005-0000-0000-00006D5B0000}"/>
    <cellStyle name="Акцент4 91" xfId="22843" xr:uid="{00000000-0005-0000-0000-00006E5B0000}"/>
    <cellStyle name="Акцент4 92" xfId="22844" xr:uid="{00000000-0005-0000-0000-00006F5B0000}"/>
    <cellStyle name="Акцент4 93" xfId="22845" xr:uid="{00000000-0005-0000-0000-0000705B0000}"/>
    <cellStyle name="Акцент4 94" xfId="22846" xr:uid="{00000000-0005-0000-0000-0000715B0000}"/>
    <cellStyle name="Акцент4 95" xfId="22847" xr:uid="{00000000-0005-0000-0000-0000725B0000}"/>
    <cellStyle name="Акцент4 96" xfId="22848" xr:uid="{00000000-0005-0000-0000-0000735B0000}"/>
    <cellStyle name="Акцент4 97" xfId="22849" xr:uid="{00000000-0005-0000-0000-0000745B0000}"/>
    <cellStyle name="Акцент4 98" xfId="22850" xr:uid="{00000000-0005-0000-0000-0000755B0000}"/>
    <cellStyle name="Акцент4 99" xfId="22851" xr:uid="{00000000-0005-0000-0000-0000765B0000}"/>
    <cellStyle name="Акцент5 10" xfId="22853" xr:uid="{00000000-0005-0000-0000-0000775B0000}"/>
    <cellStyle name="Акцент5 10 2" xfId="22854" xr:uid="{00000000-0005-0000-0000-0000785B0000}"/>
    <cellStyle name="Акцент5 100" xfId="22855" xr:uid="{00000000-0005-0000-0000-0000795B0000}"/>
    <cellStyle name="Акцент5 101" xfId="22856" xr:uid="{00000000-0005-0000-0000-00007A5B0000}"/>
    <cellStyle name="Акцент5 102" xfId="22857" xr:uid="{00000000-0005-0000-0000-00007B5B0000}"/>
    <cellStyle name="Акцент5 103" xfId="22858" xr:uid="{00000000-0005-0000-0000-00007C5B0000}"/>
    <cellStyle name="Акцент5 104" xfId="22859" xr:uid="{00000000-0005-0000-0000-00007D5B0000}"/>
    <cellStyle name="Акцент5 105" xfId="22860" xr:uid="{00000000-0005-0000-0000-00007E5B0000}"/>
    <cellStyle name="Акцент5 106" xfId="22861" xr:uid="{00000000-0005-0000-0000-00007F5B0000}"/>
    <cellStyle name="Акцент5 107" xfId="22862" xr:uid="{00000000-0005-0000-0000-0000805B0000}"/>
    <cellStyle name="Акцент5 108" xfId="22863" xr:uid="{00000000-0005-0000-0000-0000815B0000}"/>
    <cellStyle name="Акцент5 109" xfId="22864" xr:uid="{00000000-0005-0000-0000-0000825B0000}"/>
    <cellStyle name="Акцент5 11" xfId="22865" xr:uid="{00000000-0005-0000-0000-0000835B0000}"/>
    <cellStyle name="Акцент5 11 2" xfId="26826" xr:uid="{00000000-0005-0000-0000-0000845B0000}"/>
    <cellStyle name="Акцент5 110" xfId="22866" xr:uid="{00000000-0005-0000-0000-0000855B0000}"/>
    <cellStyle name="Акцент5 111" xfId="22867" xr:uid="{00000000-0005-0000-0000-0000865B0000}"/>
    <cellStyle name="Акцент5 112" xfId="22868" xr:uid="{00000000-0005-0000-0000-0000875B0000}"/>
    <cellStyle name="Акцент5 113" xfId="22869" xr:uid="{00000000-0005-0000-0000-0000885B0000}"/>
    <cellStyle name="Акцент5 114" xfId="22870" xr:uid="{00000000-0005-0000-0000-0000895B0000}"/>
    <cellStyle name="Акцент5 115" xfId="22871" xr:uid="{00000000-0005-0000-0000-00008A5B0000}"/>
    <cellStyle name="Акцент5 116" xfId="22872" xr:uid="{00000000-0005-0000-0000-00008B5B0000}"/>
    <cellStyle name="Акцент5 117" xfId="22873" xr:uid="{00000000-0005-0000-0000-00008C5B0000}"/>
    <cellStyle name="Акцент5 118" xfId="22874" xr:uid="{00000000-0005-0000-0000-00008D5B0000}"/>
    <cellStyle name="Акцент5 119" xfId="22875" xr:uid="{00000000-0005-0000-0000-00008E5B0000}"/>
    <cellStyle name="Акцент5 12" xfId="22876" xr:uid="{00000000-0005-0000-0000-00008F5B0000}"/>
    <cellStyle name="Акцент5 12 2" xfId="26857" xr:uid="{00000000-0005-0000-0000-0000905B0000}"/>
    <cellStyle name="Акцент5 120" xfId="22877" xr:uid="{00000000-0005-0000-0000-0000915B0000}"/>
    <cellStyle name="Акцент5 121" xfId="22878" xr:uid="{00000000-0005-0000-0000-0000925B0000}"/>
    <cellStyle name="Акцент5 122" xfId="22879" xr:uid="{00000000-0005-0000-0000-0000935B0000}"/>
    <cellStyle name="Акцент5 123" xfId="22880" xr:uid="{00000000-0005-0000-0000-0000945B0000}"/>
    <cellStyle name="Акцент5 124" xfId="22881" xr:uid="{00000000-0005-0000-0000-0000955B0000}"/>
    <cellStyle name="Акцент5 125" xfId="22882" xr:uid="{00000000-0005-0000-0000-0000965B0000}"/>
    <cellStyle name="Акцент5 126" xfId="22883" xr:uid="{00000000-0005-0000-0000-0000975B0000}"/>
    <cellStyle name="Акцент5 127" xfId="22884" xr:uid="{00000000-0005-0000-0000-0000985B0000}"/>
    <cellStyle name="Акцент5 128" xfId="22885" xr:uid="{00000000-0005-0000-0000-0000995B0000}"/>
    <cellStyle name="Акцент5 129" xfId="22886" xr:uid="{00000000-0005-0000-0000-00009A5B0000}"/>
    <cellStyle name="Акцент5 13" xfId="22887" xr:uid="{00000000-0005-0000-0000-00009B5B0000}"/>
    <cellStyle name="Акцент5 13 2" xfId="26883" xr:uid="{00000000-0005-0000-0000-00009C5B0000}"/>
    <cellStyle name="Акцент5 130" xfId="22888" xr:uid="{00000000-0005-0000-0000-00009D5B0000}"/>
    <cellStyle name="Акцент5 131" xfId="22889" xr:uid="{00000000-0005-0000-0000-00009E5B0000}"/>
    <cellStyle name="Акцент5 132" xfId="22890" xr:uid="{00000000-0005-0000-0000-00009F5B0000}"/>
    <cellStyle name="Акцент5 133" xfId="22891" xr:uid="{00000000-0005-0000-0000-0000A05B0000}"/>
    <cellStyle name="Акцент5 134" xfId="22892" xr:uid="{00000000-0005-0000-0000-0000A15B0000}"/>
    <cellStyle name="Акцент5 135" xfId="22893" xr:uid="{00000000-0005-0000-0000-0000A25B0000}"/>
    <cellStyle name="Акцент5 136" xfId="22894" xr:uid="{00000000-0005-0000-0000-0000A35B0000}"/>
    <cellStyle name="Акцент5 137" xfId="22895" xr:uid="{00000000-0005-0000-0000-0000A45B0000}"/>
    <cellStyle name="Акцент5 138" xfId="22896" xr:uid="{00000000-0005-0000-0000-0000A55B0000}"/>
    <cellStyle name="Акцент5 139" xfId="22897" xr:uid="{00000000-0005-0000-0000-0000A65B0000}"/>
    <cellStyle name="Акцент5 14" xfId="22898" xr:uid="{00000000-0005-0000-0000-0000A75B0000}"/>
    <cellStyle name="Акцент5 14 2" xfId="26889" xr:uid="{00000000-0005-0000-0000-0000A85B0000}"/>
    <cellStyle name="Акцент5 140" xfId="22899" xr:uid="{00000000-0005-0000-0000-0000A95B0000}"/>
    <cellStyle name="Акцент5 141" xfId="22900" xr:uid="{00000000-0005-0000-0000-0000AA5B0000}"/>
    <cellStyle name="Акцент5 142" xfId="22901" xr:uid="{00000000-0005-0000-0000-0000AB5B0000}"/>
    <cellStyle name="Акцент5 143" xfId="22902" xr:uid="{00000000-0005-0000-0000-0000AC5B0000}"/>
    <cellStyle name="Акцент5 144" xfId="22903" xr:uid="{00000000-0005-0000-0000-0000AD5B0000}"/>
    <cellStyle name="Акцент5 145" xfId="22904" xr:uid="{00000000-0005-0000-0000-0000AE5B0000}"/>
    <cellStyle name="Акцент5 146" xfId="22905" xr:uid="{00000000-0005-0000-0000-0000AF5B0000}"/>
    <cellStyle name="Акцент5 147" xfId="22906" xr:uid="{00000000-0005-0000-0000-0000B05B0000}"/>
    <cellStyle name="Акцент5 148" xfId="22907" xr:uid="{00000000-0005-0000-0000-0000B15B0000}"/>
    <cellStyle name="Акцент5 149" xfId="22908" xr:uid="{00000000-0005-0000-0000-0000B25B0000}"/>
    <cellStyle name="Акцент5 15" xfId="22909" xr:uid="{00000000-0005-0000-0000-0000B35B0000}"/>
    <cellStyle name="Акцент5 15 2" xfId="26904" xr:uid="{00000000-0005-0000-0000-0000B45B0000}"/>
    <cellStyle name="Акцент5 150" xfId="22910" xr:uid="{00000000-0005-0000-0000-0000B55B0000}"/>
    <cellStyle name="Акцент5 151" xfId="22911" xr:uid="{00000000-0005-0000-0000-0000B65B0000}"/>
    <cellStyle name="Акцент5 152" xfId="22912" xr:uid="{00000000-0005-0000-0000-0000B75B0000}"/>
    <cellStyle name="Акцент5 153" xfId="22913" xr:uid="{00000000-0005-0000-0000-0000B85B0000}"/>
    <cellStyle name="Акцент5 154" xfId="22914" xr:uid="{00000000-0005-0000-0000-0000B95B0000}"/>
    <cellStyle name="Акцент5 155" xfId="22915" xr:uid="{00000000-0005-0000-0000-0000BA5B0000}"/>
    <cellStyle name="Акцент5 156" xfId="22916" xr:uid="{00000000-0005-0000-0000-0000BB5B0000}"/>
    <cellStyle name="Акцент5 157" xfId="22917" xr:uid="{00000000-0005-0000-0000-0000BC5B0000}"/>
    <cellStyle name="Акцент5 158" xfId="22918" xr:uid="{00000000-0005-0000-0000-0000BD5B0000}"/>
    <cellStyle name="Акцент5 159" xfId="22919" xr:uid="{00000000-0005-0000-0000-0000BE5B0000}"/>
    <cellStyle name="Акцент5 16" xfId="22920" xr:uid="{00000000-0005-0000-0000-0000BF5B0000}"/>
    <cellStyle name="Акцент5 16 2" xfId="26931" xr:uid="{00000000-0005-0000-0000-0000C05B0000}"/>
    <cellStyle name="Акцент5 160" xfId="22921" xr:uid="{00000000-0005-0000-0000-0000C15B0000}"/>
    <cellStyle name="Акцент5 161" xfId="22922" xr:uid="{00000000-0005-0000-0000-0000C25B0000}"/>
    <cellStyle name="Акцент5 162" xfId="22923" xr:uid="{00000000-0005-0000-0000-0000C35B0000}"/>
    <cellStyle name="Акцент5 163" xfId="22924" xr:uid="{00000000-0005-0000-0000-0000C45B0000}"/>
    <cellStyle name="Акцент5 164" xfId="22925" xr:uid="{00000000-0005-0000-0000-0000C55B0000}"/>
    <cellStyle name="Акцент5 165" xfId="22926" xr:uid="{00000000-0005-0000-0000-0000C65B0000}"/>
    <cellStyle name="Акцент5 166" xfId="22927" xr:uid="{00000000-0005-0000-0000-0000C75B0000}"/>
    <cellStyle name="Акцент5 167" xfId="22928" xr:uid="{00000000-0005-0000-0000-0000C85B0000}"/>
    <cellStyle name="Акцент5 168" xfId="22929" xr:uid="{00000000-0005-0000-0000-0000C95B0000}"/>
    <cellStyle name="Акцент5 169" xfId="22930" xr:uid="{00000000-0005-0000-0000-0000CA5B0000}"/>
    <cellStyle name="Акцент5 17" xfId="22931" xr:uid="{00000000-0005-0000-0000-0000CB5B0000}"/>
    <cellStyle name="Акцент5 17 2" xfId="26937" xr:uid="{00000000-0005-0000-0000-0000CC5B0000}"/>
    <cellStyle name="Акцент5 170" xfId="22932" xr:uid="{00000000-0005-0000-0000-0000CD5B0000}"/>
    <cellStyle name="Акцент5 171" xfId="22933" xr:uid="{00000000-0005-0000-0000-0000CE5B0000}"/>
    <cellStyle name="Акцент5 172" xfId="22934" xr:uid="{00000000-0005-0000-0000-0000CF5B0000}"/>
    <cellStyle name="Акцент5 173" xfId="22852" xr:uid="{00000000-0005-0000-0000-0000D05B0000}"/>
    <cellStyle name="Акцент5 18" xfId="22935" xr:uid="{00000000-0005-0000-0000-0000D15B0000}"/>
    <cellStyle name="Акцент5 18 2" xfId="26956" xr:uid="{00000000-0005-0000-0000-0000D25B0000}"/>
    <cellStyle name="Акцент5 19" xfId="22936" xr:uid="{00000000-0005-0000-0000-0000D35B0000}"/>
    <cellStyle name="Акцент5 19 2" xfId="26990" xr:uid="{00000000-0005-0000-0000-0000D45B0000}"/>
    <cellStyle name="Акцент5 2" xfId="22937" xr:uid="{00000000-0005-0000-0000-0000D55B0000}"/>
    <cellStyle name="Акцент5 2 2" xfId="22938" xr:uid="{00000000-0005-0000-0000-0000D65B0000}"/>
    <cellStyle name="Акцент5 2 3" xfId="22939" xr:uid="{00000000-0005-0000-0000-0000D75B0000}"/>
    <cellStyle name="Акцент5 20" xfId="22940" xr:uid="{00000000-0005-0000-0000-0000D85B0000}"/>
    <cellStyle name="Акцент5 20 2" xfId="27006" xr:uid="{00000000-0005-0000-0000-0000D95B0000}"/>
    <cellStyle name="Акцент5 21" xfId="22941" xr:uid="{00000000-0005-0000-0000-0000DA5B0000}"/>
    <cellStyle name="Акцент5 21 2" xfId="27018" xr:uid="{00000000-0005-0000-0000-0000DB5B0000}"/>
    <cellStyle name="Акцент5 22" xfId="22942" xr:uid="{00000000-0005-0000-0000-0000DC5B0000}"/>
    <cellStyle name="Акцент5 22 2" xfId="27028" xr:uid="{00000000-0005-0000-0000-0000DD5B0000}"/>
    <cellStyle name="Акцент5 23" xfId="22943" xr:uid="{00000000-0005-0000-0000-0000DE5B0000}"/>
    <cellStyle name="Акцент5 23 2" xfId="27034" xr:uid="{00000000-0005-0000-0000-0000DF5B0000}"/>
    <cellStyle name="Акцент5 24" xfId="22944" xr:uid="{00000000-0005-0000-0000-0000E05B0000}"/>
    <cellStyle name="Акцент5 24 2" xfId="27049" xr:uid="{00000000-0005-0000-0000-0000E15B0000}"/>
    <cellStyle name="Акцент5 25" xfId="22945" xr:uid="{00000000-0005-0000-0000-0000E25B0000}"/>
    <cellStyle name="Акцент5 25 2" xfId="27082" xr:uid="{00000000-0005-0000-0000-0000E35B0000}"/>
    <cellStyle name="Акцент5 26" xfId="22946" xr:uid="{00000000-0005-0000-0000-0000E45B0000}"/>
    <cellStyle name="Акцент5 26 2" xfId="27092" xr:uid="{00000000-0005-0000-0000-0000E55B0000}"/>
    <cellStyle name="Акцент5 27" xfId="22947" xr:uid="{00000000-0005-0000-0000-0000E65B0000}"/>
    <cellStyle name="Акцент5 27 2" xfId="27098" xr:uid="{00000000-0005-0000-0000-0000E75B0000}"/>
    <cellStyle name="Акцент5 28" xfId="22948" xr:uid="{00000000-0005-0000-0000-0000E85B0000}"/>
    <cellStyle name="Акцент5 28 2" xfId="27114" xr:uid="{00000000-0005-0000-0000-0000E95B0000}"/>
    <cellStyle name="Акцент5 29" xfId="22949" xr:uid="{00000000-0005-0000-0000-0000EA5B0000}"/>
    <cellStyle name="Акцент5 29 2" xfId="27142" xr:uid="{00000000-0005-0000-0000-0000EB5B0000}"/>
    <cellStyle name="Акцент5 3" xfId="22950" xr:uid="{00000000-0005-0000-0000-0000EC5B0000}"/>
    <cellStyle name="Акцент5 3 2" xfId="22951" xr:uid="{00000000-0005-0000-0000-0000ED5B0000}"/>
    <cellStyle name="Акцент5 3 3" xfId="22952" xr:uid="{00000000-0005-0000-0000-0000EE5B0000}"/>
    <cellStyle name="Акцент5 30" xfId="22953" xr:uid="{00000000-0005-0000-0000-0000EF5B0000}"/>
    <cellStyle name="Акцент5 30 2" xfId="27148" xr:uid="{00000000-0005-0000-0000-0000F05B0000}"/>
    <cellStyle name="Акцент5 31" xfId="22954" xr:uid="{00000000-0005-0000-0000-0000F15B0000}"/>
    <cellStyle name="Акцент5 31 2" xfId="27159" xr:uid="{00000000-0005-0000-0000-0000F25B0000}"/>
    <cellStyle name="Акцент5 32" xfId="22955" xr:uid="{00000000-0005-0000-0000-0000F35B0000}"/>
    <cellStyle name="Акцент5 32 2" xfId="27175" xr:uid="{00000000-0005-0000-0000-0000F45B0000}"/>
    <cellStyle name="Акцент5 33" xfId="22956" xr:uid="{00000000-0005-0000-0000-0000F55B0000}"/>
    <cellStyle name="Акцент5 33 2" xfId="27199" xr:uid="{00000000-0005-0000-0000-0000F65B0000}"/>
    <cellStyle name="Акцент5 34" xfId="22957" xr:uid="{00000000-0005-0000-0000-0000F75B0000}"/>
    <cellStyle name="Акцент5 34 2" xfId="27197" xr:uid="{00000000-0005-0000-0000-0000F85B0000}"/>
    <cellStyle name="Акцент5 35" xfId="22958" xr:uid="{00000000-0005-0000-0000-0000F95B0000}"/>
    <cellStyle name="Акцент5 35 2" xfId="27246" xr:uid="{00000000-0005-0000-0000-0000FA5B0000}"/>
    <cellStyle name="Акцент5 36" xfId="22959" xr:uid="{00000000-0005-0000-0000-0000FB5B0000}"/>
    <cellStyle name="Акцент5 36 2" xfId="27271" xr:uid="{00000000-0005-0000-0000-0000FC5B0000}"/>
    <cellStyle name="Акцент5 37" xfId="22960" xr:uid="{00000000-0005-0000-0000-0000FD5B0000}"/>
    <cellStyle name="Акцент5 37 2" xfId="27319" xr:uid="{00000000-0005-0000-0000-0000FE5B0000}"/>
    <cellStyle name="Акцент5 38" xfId="22961" xr:uid="{00000000-0005-0000-0000-0000FF5B0000}"/>
    <cellStyle name="Акцент5 38 2" xfId="27330" xr:uid="{00000000-0005-0000-0000-0000005C0000}"/>
    <cellStyle name="Акцент5 39" xfId="22962" xr:uid="{00000000-0005-0000-0000-0000015C0000}"/>
    <cellStyle name="Акцент5 39 2" xfId="27337" xr:uid="{00000000-0005-0000-0000-0000025C0000}"/>
    <cellStyle name="Акцент5 4" xfId="22963" xr:uid="{00000000-0005-0000-0000-0000035C0000}"/>
    <cellStyle name="Акцент5 4 2" xfId="22964" xr:uid="{00000000-0005-0000-0000-0000045C0000}"/>
    <cellStyle name="Акцент5 40" xfId="22965" xr:uid="{00000000-0005-0000-0000-0000055C0000}"/>
    <cellStyle name="Акцент5 40 2" xfId="27363" xr:uid="{00000000-0005-0000-0000-0000065C0000}"/>
    <cellStyle name="Акцент5 41" xfId="22966" xr:uid="{00000000-0005-0000-0000-0000075C0000}"/>
    <cellStyle name="Акцент5 41 2" xfId="27396" xr:uid="{00000000-0005-0000-0000-0000085C0000}"/>
    <cellStyle name="Акцент5 42" xfId="22967" xr:uid="{00000000-0005-0000-0000-0000095C0000}"/>
    <cellStyle name="Акцент5 42 2" xfId="27416" xr:uid="{00000000-0005-0000-0000-00000A5C0000}"/>
    <cellStyle name="Акцент5 43" xfId="22968" xr:uid="{00000000-0005-0000-0000-00000B5C0000}"/>
    <cellStyle name="Акцент5 43 2" xfId="27432" xr:uid="{00000000-0005-0000-0000-00000C5C0000}"/>
    <cellStyle name="Акцент5 44" xfId="22969" xr:uid="{00000000-0005-0000-0000-00000D5C0000}"/>
    <cellStyle name="Акцент5 44 2" xfId="27443" xr:uid="{00000000-0005-0000-0000-00000E5C0000}"/>
    <cellStyle name="Акцент5 45" xfId="22970" xr:uid="{00000000-0005-0000-0000-00000F5C0000}"/>
    <cellStyle name="Акцент5 45 2" xfId="27466" xr:uid="{00000000-0005-0000-0000-0000105C0000}"/>
    <cellStyle name="Акцент5 46" xfId="22971" xr:uid="{00000000-0005-0000-0000-0000115C0000}"/>
    <cellStyle name="Акцент5 46 2" xfId="27509" xr:uid="{00000000-0005-0000-0000-0000125C0000}"/>
    <cellStyle name="Акцент5 47" xfId="22972" xr:uid="{00000000-0005-0000-0000-0000135C0000}"/>
    <cellStyle name="Акцент5 47 2" xfId="27521" xr:uid="{00000000-0005-0000-0000-0000145C0000}"/>
    <cellStyle name="Акцент5 48" xfId="22973" xr:uid="{00000000-0005-0000-0000-0000155C0000}"/>
    <cellStyle name="Акцент5 48 2" xfId="27528" xr:uid="{00000000-0005-0000-0000-0000165C0000}"/>
    <cellStyle name="Акцент5 49" xfId="22974" xr:uid="{00000000-0005-0000-0000-0000175C0000}"/>
    <cellStyle name="Акцент5 49 2" xfId="27553" xr:uid="{00000000-0005-0000-0000-0000185C0000}"/>
    <cellStyle name="Акцент5 5" xfId="22975" xr:uid="{00000000-0005-0000-0000-0000195C0000}"/>
    <cellStyle name="Акцент5 5 2" xfId="22976" xr:uid="{00000000-0005-0000-0000-00001A5C0000}"/>
    <cellStyle name="Акцент5 50" xfId="22977" xr:uid="{00000000-0005-0000-0000-00001B5C0000}"/>
    <cellStyle name="Акцент5 50 2" xfId="27595" xr:uid="{00000000-0005-0000-0000-00001C5C0000}"/>
    <cellStyle name="Акцент5 51" xfId="22978" xr:uid="{00000000-0005-0000-0000-00001D5C0000}"/>
    <cellStyle name="Акцент5 51 2" xfId="27613" xr:uid="{00000000-0005-0000-0000-00001E5C0000}"/>
    <cellStyle name="Акцент5 52" xfId="22979" xr:uid="{00000000-0005-0000-0000-00001F5C0000}"/>
    <cellStyle name="Акцент5 52 2" xfId="27626" xr:uid="{00000000-0005-0000-0000-0000205C0000}"/>
    <cellStyle name="Акцент5 53" xfId="22980" xr:uid="{00000000-0005-0000-0000-0000215C0000}"/>
    <cellStyle name="Акцент5 53 2" xfId="27614" xr:uid="{00000000-0005-0000-0000-0000225C0000}"/>
    <cellStyle name="Акцент5 54" xfId="22981" xr:uid="{00000000-0005-0000-0000-0000235C0000}"/>
    <cellStyle name="Акцент5 54 2" xfId="27665" xr:uid="{00000000-0005-0000-0000-0000245C0000}"/>
    <cellStyle name="Акцент5 55" xfId="22982" xr:uid="{00000000-0005-0000-0000-0000255C0000}"/>
    <cellStyle name="Акцент5 55 2" xfId="27712" xr:uid="{00000000-0005-0000-0000-0000265C0000}"/>
    <cellStyle name="Акцент5 56" xfId="22983" xr:uid="{00000000-0005-0000-0000-0000275C0000}"/>
    <cellStyle name="Акцент5 56 2" xfId="27726" xr:uid="{00000000-0005-0000-0000-0000285C0000}"/>
    <cellStyle name="Акцент5 57" xfId="22984" xr:uid="{00000000-0005-0000-0000-0000295C0000}"/>
    <cellStyle name="Акцент5 57 2" xfId="27738" xr:uid="{00000000-0005-0000-0000-00002A5C0000}"/>
    <cellStyle name="Акцент5 58" xfId="22985" xr:uid="{00000000-0005-0000-0000-00002B5C0000}"/>
    <cellStyle name="Акцент5 58 2" xfId="27745" xr:uid="{00000000-0005-0000-0000-00002C5C0000}"/>
    <cellStyle name="Акцент5 59" xfId="22986" xr:uid="{00000000-0005-0000-0000-00002D5C0000}"/>
    <cellStyle name="Акцент5 59 2" xfId="27758" xr:uid="{00000000-0005-0000-0000-00002E5C0000}"/>
    <cellStyle name="Акцент5 6" xfId="22987" xr:uid="{00000000-0005-0000-0000-00002F5C0000}"/>
    <cellStyle name="Акцент5 6 2" xfId="22988" xr:uid="{00000000-0005-0000-0000-0000305C0000}"/>
    <cellStyle name="Акцент5 60" xfId="22989" xr:uid="{00000000-0005-0000-0000-0000315C0000}"/>
    <cellStyle name="Акцент5 61" xfId="22990" xr:uid="{00000000-0005-0000-0000-0000325C0000}"/>
    <cellStyle name="Акцент5 62" xfId="22991" xr:uid="{00000000-0005-0000-0000-0000335C0000}"/>
    <cellStyle name="Акцент5 63" xfId="22992" xr:uid="{00000000-0005-0000-0000-0000345C0000}"/>
    <cellStyle name="Акцент5 64" xfId="22993" xr:uid="{00000000-0005-0000-0000-0000355C0000}"/>
    <cellStyle name="Акцент5 65" xfId="22994" xr:uid="{00000000-0005-0000-0000-0000365C0000}"/>
    <cellStyle name="Акцент5 66" xfId="22995" xr:uid="{00000000-0005-0000-0000-0000375C0000}"/>
    <cellStyle name="Акцент5 67" xfId="22996" xr:uid="{00000000-0005-0000-0000-0000385C0000}"/>
    <cellStyle name="Акцент5 68" xfId="22997" xr:uid="{00000000-0005-0000-0000-0000395C0000}"/>
    <cellStyle name="Акцент5 69" xfId="22998" xr:uid="{00000000-0005-0000-0000-00003A5C0000}"/>
    <cellStyle name="Акцент5 7" xfId="22999" xr:uid="{00000000-0005-0000-0000-00003B5C0000}"/>
    <cellStyle name="Акцент5 7 2" xfId="23000" xr:uid="{00000000-0005-0000-0000-00003C5C0000}"/>
    <cellStyle name="Акцент5 70" xfId="23001" xr:uid="{00000000-0005-0000-0000-00003D5C0000}"/>
    <cellStyle name="Акцент5 71" xfId="23002" xr:uid="{00000000-0005-0000-0000-00003E5C0000}"/>
    <cellStyle name="Акцент5 72" xfId="23003" xr:uid="{00000000-0005-0000-0000-00003F5C0000}"/>
    <cellStyle name="Акцент5 73" xfId="23004" xr:uid="{00000000-0005-0000-0000-0000405C0000}"/>
    <cellStyle name="Акцент5 74" xfId="23005" xr:uid="{00000000-0005-0000-0000-0000415C0000}"/>
    <cellStyle name="Акцент5 75" xfId="23006" xr:uid="{00000000-0005-0000-0000-0000425C0000}"/>
    <cellStyle name="Акцент5 76" xfId="23007" xr:uid="{00000000-0005-0000-0000-0000435C0000}"/>
    <cellStyle name="Акцент5 77" xfId="23008" xr:uid="{00000000-0005-0000-0000-0000445C0000}"/>
    <cellStyle name="Акцент5 78" xfId="23009" xr:uid="{00000000-0005-0000-0000-0000455C0000}"/>
    <cellStyle name="Акцент5 79" xfId="23010" xr:uid="{00000000-0005-0000-0000-0000465C0000}"/>
    <cellStyle name="Акцент5 8" xfId="23011" xr:uid="{00000000-0005-0000-0000-0000475C0000}"/>
    <cellStyle name="Акцент5 8 2" xfId="23012" xr:uid="{00000000-0005-0000-0000-0000485C0000}"/>
    <cellStyle name="Акцент5 80" xfId="23013" xr:uid="{00000000-0005-0000-0000-0000495C0000}"/>
    <cellStyle name="Акцент5 81" xfId="23014" xr:uid="{00000000-0005-0000-0000-00004A5C0000}"/>
    <cellStyle name="Акцент5 82" xfId="23015" xr:uid="{00000000-0005-0000-0000-00004B5C0000}"/>
    <cellStyle name="Акцент5 83" xfId="23016" xr:uid="{00000000-0005-0000-0000-00004C5C0000}"/>
    <cellStyle name="Акцент5 84" xfId="23017" xr:uid="{00000000-0005-0000-0000-00004D5C0000}"/>
    <cellStyle name="Акцент5 85" xfId="23018" xr:uid="{00000000-0005-0000-0000-00004E5C0000}"/>
    <cellStyle name="Акцент5 86" xfId="23019" xr:uid="{00000000-0005-0000-0000-00004F5C0000}"/>
    <cellStyle name="Акцент5 87" xfId="23020" xr:uid="{00000000-0005-0000-0000-0000505C0000}"/>
    <cellStyle name="Акцент5 88" xfId="23021" xr:uid="{00000000-0005-0000-0000-0000515C0000}"/>
    <cellStyle name="Акцент5 89" xfId="23022" xr:uid="{00000000-0005-0000-0000-0000525C0000}"/>
    <cellStyle name="Акцент5 9" xfId="23023" xr:uid="{00000000-0005-0000-0000-0000535C0000}"/>
    <cellStyle name="Акцент5 9 2" xfId="23024" xr:uid="{00000000-0005-0000-0000-0000545C0000}"/>
    <cellStyle name="Акцент5 90" xfId="23025" xr:uid="{00000000-0005-0000-0000-0000555C0000}"/>
    <cellStyle name="Акцент5 91" xfId="23026" xr:uid="{00000000-0005-0000-0000-0000565C0000}"/>
    <cellStyle name="Акцент5 92" xfId="23027" xr:uid="{00000000-0005-0000-0000-0000575C0000}"/>
    <cellStyle name="Акцент5 93" xfId="23028" xr:uid="{00000000-0005-0000-0000-0000585C0000}"/>
    <cellStyle name="Акцент5 94" xfId="23029" xr:uid="{00000000-0005-0000-0000-0000595C0000}"/>
    <cellStyle name="Акцент5 95" xfId="23030" xr:uid="{00000000-0005-0000-0000-00005A5C0000}"/>
    <cellStyle name="Акцент5 96" xfId="23031" xr:uid="{00000000-0005-0000-0000-00005B5C0000}"/>
    <cellStyle name="Акцент5 97" xfId="23032" xr:uid="{00000000-0005-0000-0000-00005C5C0000}"/>
    <cellStyle name="Акцент5 98" xfId="23033" xr:uid="{00000000-0005-0000-0000-00005D5C0000}"/>
    <cellStyle name="Акцент5 99" xfId="23034" xr:uid="{00000000-0005-0000-0000-00005E5C0000}"/>
    <cellStyle name="Акцент6 10" xfId="23036" xr:uid="{00000000-0005-0000-0000-00005F5C0000}"/>
    <cellStyle name="Акцент6 10 2" xfId="23037" xr:uid="{00000000-0005-0000-0000-0000605C0000}"/>
    <cellStyle name="Акцент6 100" xfId="23038" xr:uid="{00000000-0005-0000-0000-0000615C0000}"/>
    <cellStyle name="Акцент6 101" xfId="23039" xr:uid="{00000000-0005-0000-0000-0000625C0000}"/>
    <cellStyle name="Акцент6 102" xfId="23040" xr:uid="{00000000-0005-0000-0000-0000635C0000}"/>
    <cellStyle name="Акцент6 103" xfId="23041" xr:uid="{00000000-0005-0000-0000-0000645C0000}"/>
    <cellStyle name="Акцент6 104" xfId="23042" xr:uid="{00000000-0005-0000-0000-0000655C0000}"/>
    <cellStyle name="Акцент6 105" xfId="23043" xr:uid="{00000000-0005-0000-0000-0000665C0000}"/>
    <cellStyle name="Акцент6 106" xfId="23044" xr:uid="{00000000-0005-0000-0000-0000675C0000}"/>
    <cellStyle name="Акцент6 107" xfId="23045" xr:uid="{00000000-0005-0000-0000-0000685C0000}"/>
    <cellStyle name="Акцент6 108" xfId="23046" xr:uid="{00000000-0005-0000-0000-0000695C0000}"/>
    <cellStyle name="Акцент6 109" xfId="23047" xr:uid="{00000000-0005-0000-0000-00006A5C0000}"/>
    <cellStyle name="Акцент6 11" xfId="23048" xr:uid="{00000000-0005-0000-0000-00006B5C0000}"/>
    <cellStyle name="Акцент6 11 2" xfId="26827" xr:uid="{00000000-0005-0000-0000-00006C5C0000}"/>
    <cellStyle name="Акцент6 110" xfId="23049" xr:uid="{00000000-0005-0000-0000-00006D5C0000}"/>
    <cellStyle name="Акцент6 111" xfId="23050" xr:uid="{00000000-0005-0000-0000-00006E5C0000}"/>
    <cellStyle name="Акцент6 112" xfId="23051" xr:uid="{00000000-0005-0000-0000-00006F5C0000}"/>
    <cellStyle name="Акцент6 113" xfId="23052" xr:uid="{00000000-0005-0000-0000-0000705C0000}"/>
    <cellStyle name="Акцент6 114" xfId="23053" xr:uid="{00000000-0005-0000-0000-0000715C0000}"/>
    <cellStyle name="Акцент6 115" xfId="23054" xr:uid="{00000000-0005-0000-0000-0000725C0000}"/>
    <cellStyle name="Акцент6 116" xfId="23055" xr:uid="{00000000-0005-0000-0000-0000735C0000}"/>
    <cellStyle name="Акцент6 117" xfId="23056" xr:uid="{00000000-0005-0000-0000-0000745C0000}"/>
    <cellStyle name="Акцент6 118" xfId="23057" xr:uid="{00000000-0005-0000-0000-0000755C0000}"/>
    <cellStyle name="Акцент6 119" xfId="23058" xr:uid="{00000000-0005-0000-0000-0000765C0000}"/>
    <cellStyle name="Акцент6 12" xfId="23059" xr:uid="{00000000-0005-0000-0000-0000775C0000}"/>
    <cellStyle name="Акцент6 12 2" xfId="26861" xr:uid="{00000000-0005-0000-0000-0000785C0000}"/>
    <cellStyle name="Акцент6 120" xfId="23060" xr:uid="{00000000-0005-0000-0000-0000795C0000}"/>
    <cellStyle name="Акцент6 121" xfId="23061" xr:uid="{00000000-0005-0000-0000-00007A5C0000}"/>
    <cellStyle name="Акцент6 122" xfId="23062" xr:uid="{00000000-0005-0000-0000-00007B5C0000}"/>
    <cellStyle name="Акцент6 123" xfId="23063" xr:uid="{00000000-0005-0000-0000-00007C5C0000}"/>
    <cellStyle name="Акцент6 124" xfId="23064" xr:uid="{00000000-0005-0000-0000-00007D5C0000}"/>
    <cellStyle name="Акцент6 125" xfId="23065" xr:uid="{00000000-0005-0000-0000-00007E5C0000}"/>
    <cellStyle name="Акцент6 126" xfId="23066" xr:uid="{00000000-0005-0000-0000-00007F5C0000}"/>
    <cellStyle name="Акцент6 127" xfId="23067" xr:uid="{00000000-0005-0000-0000-0000805C0000}"/>
    <cellStyle name="Акцент6 128" xfId="23068" xr:uid="{00000000-0005-0000-0000-0000815C0000}"/>
    <cellStyle name="Акцент6 129" xfId="23069" xr:uid="{00000000-0005-0000-0000-0000825C0000}"/>
    <cellStyle name="Акцент6 13" xfId="23070" xr:uid="{00000000-0005-0000-0000-0000835C0000}"/>
    <cellStyle name="Акцент6 13 2" xfId="26882" xr:uid="{00000000-0005-0000-0000-0000845C0000}"/>
    <cellStyle name="Акцент6 130" xfId="23071" xr:uid="{00000000-0005-0000-0000-0000855C0000}"/>
    <cellStyle name="Акцент6 131" xfId="23072" xr:uid="{00000000-0005-0000-0000-0000865C0000}"/>
    <cellStyle name="Акцент6 132" xfId="23073" xr:uid="{00000000-0005-0000-0000-0000875C0000}"/>
    <cellStyle name="Акцент6 133" xfId="23074" xr:uid="{00000000-0005-0000-0000-0000885C0000}"/>
    <cellStyle name="Акцент6 134" xfId="23075" xr:uid="{00000000-0005-0000-0000-0000895C0000}"/>
    <cellStyle name="Акцент6 135" xfId="23076" xr:uid="{00000000-0005-0000-0000-00008A5C0000}"/>
    <cellStyle name="Акцент6 136" xfId="23077" xr:uid="{00000000-0005-0000-0000-00008B5C0000}"/>
    <cellStyle name="Акцент6 137" xfId="23078" xr:uid="{00000000-0005-0000-0000-00008C5C0000}"/>
    <cellStyle name="Акцент6 138" xfId="23079" xr:uid="{00000000-0005-0000-0000-00008D5C0000}"/>
    <cellStyle name="Акцент6 139" xfId="23080" xr:uid="{00000000-0005-0000-0000-00008E5C0000}"/>
    <cellStyle name="Акцент6 14" xfId="23081" xr:uid="{00000000-0005-0000-0000-00008F5C0000}"/>
    <cellStyle name="Акцент6 14 2" xfId="26849" xr:uid="{00000000-0005-0000-0000-0000905C0000}"/>
    <cellStyle name="Акцент6 140" xfId="23082" xr:uid="{00000000-0005-0000-0000-0000915C0000}"/>
    <cellStyle name="Акцент6 141" xfId="23083" xr:uid="{00000000-0005-0000-0000-0000925C0000}"/>
    <cellStyle name="Акцент6 142" xfId="23084" xr:uid="{00000000-0005-0000-0000-0000935C0000}"/>
    <cellStyle name="Акцент6 143" xfId="23085" xr:uid="{00000000-0005-0000-0000-0000945C0000}"/>
    <cellStyle name="Акцент6 144" xfId="23086" xr:uid="{00000000-0005-0000-0000-0000955C0000}"/>
    <cellStyle name="Акцент6 145" xfId="23087" xr:uid="{00000000-0005-0000-0000-0000965C0000}"/>
    <cellStyle name="Акцент6 146" xfId="23088" xr:uid="{00000000-0005-0000-0000-0000975C0000}"/>
    <cellStyle name="Акцент6 147" xfId="23089" xr:uid="{00000000-0005-0000-0000-0000985C0000}"/>
    <cellStyle name="Акцент6 148" xfId="23090" xr:uid="{00000000-0005-0000-0000-0000995C0000}"/>
    <cellStyle name="Акцент6 149" xfId="23091" xr:uid="{00000000-0005-0000-0000-00009A5C0000}"/>
    <cellStyle name="Акцент6 15" xfId="23092" xr:uid="{00000000-0005-0000-0000-00009B5C0000}"/>
    <cellStyle name="Акцент6 15 2" xfId="26908" xr:uid="{00000000-0005-0000-0000-00009C5C0000}"/>
    <cellStyle name="Акцент6 150" xfId="23093" xr:uid="{00000000-0005-0000-0000-00009D5C0000}"/>
    <cellStyle name="Акцент6 151" xfId="23094" xr:uid="{00000000-0005-0000-0000-00009E5C0000}"/>
    <cellStyle name="Акцент6 152" xfId="23095" xr:uid="{00000000-0005-0000-0000-00009F5C0000}"/>
    <cellStyle name="Акцент6 153" xfId="23096" xr:uid="{00000000-0005-0000-0000-0000A05C0000}"/>
    <cellStyle name="Акцент6 154" xfId="23097" xr:uid="{00000000-0005-0000-0000-0000A15C0000}"/>
    <cellStyle name="Акцент6 155" xfId="23098" xr:uid="{00000000-0005-0000-0000-0000A25C0000}"/>
    <cellStyle name="Акцент6 156" xfId="23099" xr:uid="{00000000-0005-0000-0000-0000A35C0000}"/>
    <cellStyle name="Акцент6 157" xfId="23100" xr:uid="{00000000-0005-0000-0000-0000A45C0000}"/>
    <cellStyle name="Акцент6 158" xfId="23101" xr:uid="{00000000-0005-0000-0000-0000A55C0000}"/>
    <cellStyle name="Акцент6 159" xfId="23102" xr:uid="{00000000-0005-0000-0000-0000A65C0000}"/>
    <cellStyle name="Акцент6 16" xfId="23103" xr:uid="{00000000-0005-0000-0000-0000A75C0000}"/>
    <cellStyle name="Акцент6 16 2" xfId="26930" xr:uid="{00000000-0005-0000-0000-0000A85C0000}"/>
    <cellStyle name="Акцент6 160" xfId="23104" xr:uid="{00000000-0005-0000-0000-0000A95C0000}"/>
    <cellStyle name="Акцент6 161" xfId="23105" xr:uid="{00000000-0005-0000-0000-0000AA5C0000}"/>
    <cellStyle name="Акцент6 162" xfId="23106" xr:uid="{00000000-0005-0000-0000-0000AB5C0000}"/>
    <cellStyle name="Акцент6 163" xfId="23107" xr:uid="{00000000-0005-0000-0000-0000AC5C0000}"/>
    <cellStyle name="Акцент6 164" xfId="23108" xr:uid="{00000000-0005-0000-0000-0000AD5C0000}"/>
    <cellStyle name="Акцент6 165" xfId="23109" xr:uid="{00000000-0005-0000-0000-0000AE5C0000}"/>
    <cellStyle name="Акцент6 166" xfId="23110" xr:uid="{00000000-0005-0000-0000-0000AF5C0000}"/>
    <cellStyle name="Акцент6 167" xfId="23111" xr:uid="{00000000-0005-0000-0000-0000B05C0000}"/>
    <cellStyle name="Акцент6 168" xfId="23112" xr:uid="{00000000-0005-0000-0000-0000B15C0000}"/>
    <cellStyle name="Акцент6 169" xfId="23113" xr:uid="{00000000-0005-0000-0000-0000B25C0000}"/>
    <cellStyle name="Акцент6 17" xfId="23114" xr:uid="{00000000-0005-0000-0000-0000B35C0000}"/>
    <cellStyle name="Акцент6 17 2" xfId="26897" xr:uid="{00000000-0005-0000-0000-0000B45C0000}"/>
    <cellStyle name="Акцент6 170" xfId="23115" xr:uid="{00000000-0005-0000-0000-0000B55C0000}"/>
    <cellStyle name="Акцент6 171" xfId="23116" xr:uid="{00000000-0005-0000-0000-0000B65C0000}"/>
    <cellStyle name="Акцент6 172" xfId="23117" xr:uid="{00000000-0005-0000-0000-0000B75C0000}"/>
    <cellStyle name="Акцент6 173" xfId="23035" xr:uid="{00000000-0005-0000-0000-0000B85C0000}"/>
    <cellStyle name="Акцент6 18" xfId="23118" xr:uid="{00000000-0005-0000-0000-0000B95C0000}"/>
    <cellStyle name="Акцент6 18 2" xfId="26960" xr:uid="{00000000-0005-0000-0000-0000BA5C0000}"/>
    <cellStyle name="Акцент6 19" xfId="23119" xr:uid="{00000000-0005-0000-0000-0000BB5C0000}"/>
    <cellStyle name="Акцент6 19 2" xfId="26986" xr:uid="{00000000-0005-0000-0000-0000BC5C0000}"/>
    <cellStyle name="Акцент6 2" xfId="23120" xr:uid="{00000000-0005-0000-0000-0000BD5C0000}"/>
    <cellStyle name="Акцент6 2 2" xfId="23121" xr:uid="{00000000-0005-0000-0000-0000BE5C0000}"/>
    <cellStyle name="Акцент6 2 3" xfId="23122" xr:uid="{00000000-0005-0000-0000-0000BF5C0000}"/>
    <cellStyle name="Акцент6 20" xfId="23123" xr:uid="{00000000-0005-0000-0000-0000C05C0000}"/>
    <cellStyle name="Акцент6 20 2" xfId="26946" xr:uid="{00000000-0005-0000-0000-0000C15C0000}"/>
    <cellStyle name="Акцент6 21" xfId="23124" xr:uid="{00000000-0005-0000-0000-0000C25C0000}"/>
    <cellStyle name="Акцент6 21 2" xfId="27000" xr:uid="{00000000-0005-0000-0000-0000C35C0000}"/>
    <cellStyle name="Акцент6 22" xfId="23125" xr:uid="{00000000-0005-0000-0000-0000C45C0000}"/>
    <cellStyle name="Акцент6 22 2" xfId="27013" xr:uid="{00000000-0005-0000-0000-0000C55C0000}"/>
    <cellStyle name="Акцент6 23" xfId="23126" xr:uid="{00000000-0005-0000-0000-0000C65C0000}"/>
    <cellStyle name="Акцент6 23 2" xfId="27025" xr:uid="{00000000-0005-0000-0000-0000C75C0000}"/>
    <cellStyle name="Акцент6 24" xfId="23127" xr:uid="{00000000-0005-0000-0000-0000C85C0000}"/>
    <cellStyle name="Акцент6 24 2" xfId="27053" xr:uid="{00000000-0005-0000-0000-0000C95C0000}"/>
    <cellStyle name="Акцент6 25" xfId="23128" xr:uid="{00000000-0005-0000-0000-0000CA5C0000}"/>
    <cellStyle name="Акцент6 25 2" xfId="27078" xr:uid="{00000000-0005-0000-0000-0000CB5C0000}"/>
    <cellStyle name="Акцент6 26" xfId="23129" xr:uid="{00000000-0005-0000-0000-0000CC5C0000}"/>
    <cellStyle name="Акцент6 26 2" xfId="27042" xr:uid="{00000000-0005-0000-0000-0000CD5C0000}"/>
    <cellStyle name="Акцент6 27" xfId="23130" xr:uid="{00000000-0005-0000-0000-0000CE5C0000}"/>
    <cellStyle name="Акцент6 27 2" xfId="27089" xr:uid="{00000000-0005-0000-0000-0000CF5C0000}"/>
    <cellStyle name="Акцент6 28" xfId="23131" xr:uid="{00000000-0005-0000-0000-0000D05C0000}"/>
    <cellStyle name="Акцент6 28 2" xfId="27118" xr:uid="{00000000-0005-0000-0000-0000D15C0000}"/>
    <cellStyle name="Акцент6 29" xfId="23132" xr:uid="{00000000-0005-0000-0000-0000D25C0000}"/>
    <cellStyle name="Акцент6 29 2" xfId="27141" xr:uid="{00000000-0005-0000-0000-0000D35C0000}"/>
    <cellStyle name="Акцент6 3" xfId="23133" xr:uid="{00000000-0005-0000-0000-0000D45C0000}"/>
    <cellStyle name="Акцент6 3 2" xfId="23134" xr:uid="{00000000-0005-0000-0000-0000D55C0000}"/>
    <cellStyle name="Акцент6 3 3" xfId="23135" xr:uid="{00000000-0005-0000-0000-0000D65C0000}"/>
    <cellStyle name="Акцент6 30" xfId="23136" xr:uid="{00000000-0005-0000-0000-0000D75C0000}"/>
    <cellStyle name="Акцент6 30 2" xfId="27107" xr:uid="{00000000-0005-0000-0000-0000D85C0000}"/>
    <cellStyle name="Акцент6 31" xfId="23137" xr:uid="{00000000-0005-0000-0000-0000D95C0000}"/>
    <cellStyle name="Акцент6 31 2" xfId="27160" xr:uid="{00000000-0005-0000-0000-0000DA5C0000}"/>
    <cellStyle name="Акцент6 32" xfId="23138" xr:uid="{00000000-0005-0000-0000-0000DB5C0000}"/>
    <cellStyle name="Акцент6 32 2" xfId="27176" xr:uid="{00000000-0005-0000-0000-0000DC5C0000}"/>
    <cellStyle name="Акцент6 33" xfId="23139" xr:uid="{00000000-0005-0000-0000-0000DD5C0000}"/>
    <cellStyle name="Акцент6 33 2" xfId="27201" xr:uid="{00000000-0005-0000-0000-0000DE5C0000}"/>
    <cellStyle name="Акцент6 34" xfId="23140" xr:uid="{00000000-0005-0000-0000-0000DF5C0000}"/>
    <cellStyle name="Акцент6 34 2" xfId="27195" xr:uid="{00000000-0005-0000-0000-0000E05C0000}"/>
    <cellStyle name="Акцент6 35" xfId="23141" xr:uid="{00000000-0005-0000-0000-0000E15C0000}"/>
    <cellStyle name="Акцент6 35 2" xfId="27245" xr:uid="{00000000-0005-0000-0000-0000E25C0000}"/>
    <cellStyle name="Акцент6 36" xfId="23142" xr:uid="{00000000-0005-0000-0000-0000E35C0000}"/>
    <cellStyle name="Акцент6 36 2" xfId="27275" xr:uid="{00000000-0005-0000-0000-0000E45C0000}"/>
    <cellStyle name="Акцент6 37" xfId="23143" xr:uid="{00000000-0005-0000-0000-0000E55C0000}"/>
    <cellStyle name="Акцент6 37 2" xfId="27315" xr:uid="{00000000-0005-0000-0000-0000E65C0000}"/>
    <cellStyle name="Акцент6 38" xfId="23144" xr:uid="{00000000-0005-0000-0000-0000E75C0000}"/>
    <cellStyle name="Акцент6 38 2" xfId="27263" xr:uid="{00000000-0005-0000-0000-0000E85C0000}"/>
    <cellStyle name="Акцент6 39" xfId="23145" xr:uid="{00000000-0005-0000-0000-0000E95C0000}"/>
    <cellStyle name="Акцент6 39 2" xfId="27326" xr:uid="{00000000-0005-0000-0000-0000EA5C0000}"/>
    <cellStyle name="Акцент6 4" xfId="23146" xr:uid="{00000000-0005-0000-0000-0000EB5C0000}"/>
    <cellStyle name="Акцент6 4 2" xfId="23147" xr:uid="{00000000-0005-0000-0000-0000EC5C0000}"/>
    <cellStyle name="Акцент6 40" xfId="23148" xr:uid="{00000000-0005-0000-0000-0000ED5C0000}"/>
    <cellStyle name="Акцент6 40 2" xfId="27367" xr:uid="{00000000-0005-0000-0000-0000EE5C0000}"/>
    <cellStyle name="Акцент6 41" xfId="23149" xr:uid="{00000000-0005-0000-0000-0000EF5C0000}"/>
    <cellStyle name="Акцент6 41 2" xfId="27392" xr:uid="{00000000-0005-0000-0000-0000F05C0000}"/>
    <cellStyle name="Акцент6 42" xfId="23150" xr:uid="{00000000-0005-0000-0000-0000F15C0000}"/>
    <cellStyle name="Акцент6 42 2" xfId="27413" xr:uid="{00000000-0005-0000-0000-0000F25C0000}"/>
    <cellStyle name="Акцент6 43" xfId="23151" xr:uid="{00000000-0005-0000-0000-0000F35C0000}"/>
    <cellStyle name="Акцент6 43 2" xfId="27404" xr:uid="{00000000-0005-0000-0000-0000F45C0000}"/>
    <cellStyle name="Акцент6 44" xfId="23152" xr:uid="{00000000-0005-0000-0000-0000F55C0000}"/>
    <cellStyle name="Акцент6 44 2" xfId="27442" xr:uid="{00000000-0005-0000-0000-0000F65C0000}"/>
    <cellStyle name="Акцент6 45" xfId="23153" xr:uid="{00000000-0005-0000-0000-0000F75C0000}"/>
    <cellStyle name="Акцент6 45 2" xfId="27470" xr:uid="{00000000-0005-0000-0000-0000F85C0000}"/>
    <cellStyle name="Акцент6 46" xfId="23154" xr:uid="{00000000-0005-0000-0000-0000F95C0000}"/>
    <cellStyle name="Акцент6 46 2" xfId="27505" xr:uid="{00000000-0005-0000-0000-0000FA5C0000}"/>
    <cellStyle name="Акцент6 47" xfId="23155" xr:uid="{00000000-0005-0000-0000-0000FB5C0000}"/>
    <cellStyle name="Акцент6 47 2" xfId="27454" xr:uid="{00000000-0005-0000-0000-0000FC5C0000}"/>
    <cellStyle name="Акцент6 48" xfId="23156" xr:uid="{00000000-0005-0000-0000-0000FD5C0000}"/>
    <cellStyle name="Акцент6 48 2" xfId="27517" xr:uid="{00000000-0005-0000-0000-0000FE5C0000}"/>
    <cellStyle name="Акцент6 49" xfId="23157" xr:uid="{00000000-0005-0000-0000-0000FF5C0000}"/>
    <cellStyle name="Акцент6 49 2" xfId="27557" xr:uid="{00000000-0005-0000-0000-0000005D0000}"/>
    <cellStyle name="Акцент6 5" xfId="23158" xr:uid="{00000000-0005-0000-0000-0000015D0000}"/>
    <cellStyle name="Акцент6 5 2" xfId="23159" xr:uid="{00000000-0005-0000-0000-0000025D0000}"/>
    <cellStyle name="Акцент6 50" xfId="23160" xr:uid="{00000000-0005-0000-0000-0000035D0000}"/>
    <cellStyle name="Акцент6 50 2" xfId="27591" xr:uid="{00000000-0005-0000-0000-0000045D0000}"/>
    <cellStyle name="Акцент6 51" xfId="23161" xr:uid="{00000000-0005-0000-0000-0000055D0000}"/>
    <cellStyle name="Акцент6 51 2" xfId="27540" xr:uid="{00000000-0005-0000-0000-0000065D0000}"/>
    <cellStyle name="Акцент6 52" xfId="23162" xr:uid="{00000000-0005-0000-0000-0000075D0000}"/>
    <cellStyle name="Акцент6 52 2" xfId="27607" xr:uid="{00000000-0005-0000-0000-0000085D0000}"/>
    <cellStyle name="Акцент6 53" xfId="23163" xr:uid="{00000000-0005-0000-0000-0000095D0000}"/>
    <cellStyle name="Акцент6 53 2" xfId="27612" xr:uid="{00000000-0005-0000-0000-00000A5D0000}"/>
    <cellStyle name="Акцент6 54" xfId="23164" xr:uid="{00000000-0005-0000-0000-00000B5D0000}"/>
    <cellStyle name="Акцент6 54 2" xfId="27669" xr:uid="{00000000-0005-0000-0000-00000C5D0000}"/>
    <cellStyle name="Акцент6 55" xfId="23165" xr:uid="{00000000-0005-0000-0000-00000D5D0000}"/>
    <cellStyle name="Акцент6 55 2" xfId="27708" xr:uid="{00000000-0005-0000-0000-00000E5D0000}"/>
    <cellStyle name="Акцент6 56" xfId="23166" xr:uid="{00000000-0005-0000-0000-00000F5D0000}"/>
    <cellStyle name="Акцент6 56 2" xfId="27651" xr:uid="{00000000-0005-0000-0000-0000105D0000}"/>
    <cellStyle name="Акцент6 57" xfId="23167" xr:uid="{00000000-0005-0000-0000-0000115D0000}"/>
    <cellStyle name="Акцент6 57 2" xfId="27720" xr:uid="{00000000-0005-0000-0000-0000125D0000}"/>
    <cellStyle name="Акцент6 58" xfId="23168" xr:uid="{00000000-0005-0000-0000-0000135D0000}"/>
    <cellStyle name="Акцент6 58 2" xfId="27734" xr:uid="{00000000-0005-0000-0000-0000145D0000}"/>
    <cellStyle name="Акцент6 59" xfId="23169" xr:uid="{00000000-0005-0000-0000-0000155D0000}"/>
    <cellStyle name="Акцент6 59 2" xfId="27759" xr:uid="{00000000-0005-0000-0000-0000165D0000}"/>
    <cellStyle name="Акцент6 6" xfId="23170" xr:uid="{00000000-0005-0000-0000-0000175D0000}"/>
    <cellStyle name="Акцент6 6 2" xfId="23171" xr:uid="{00000000-0005-0000-0000-0000185D0000}"/>
    <cellStyle name="Акцент6 60" xfId="23172" xr:uid="{00000000-0005-0000-0000-0000195D0000}"/>
    <cellStyle name="Акцент6 61" xfId="23173" xr:uid="{00000000-0005-0000-0000-00001A5D0000}"/>
    <cellStyle name="Акцент6 62" xfId="23174" xr:uid="{00000000-0005-0000-0000-00001B5D0000}"/>
    <cellStyle name="Акцент6 63" xfId="23175" xr:uid="{00000000-0005-0000-0000-00001C5D0000}"/>
    <cellStyle name="Акцент6 64" xfId="23176" xr:uid="{00000000-0005-0000-0000-00001D5D0000}"/>
    <cellStyle name="Акцент6 65" xfId="23177" xr:uid="{00000000-0005-0000-0000-00001E5D0000}"/>
    <cellStyle name="Акцент6 66" xfId="23178" xr:uid="{00000000-0005-0000-0000-00001F5D0000}"/>
    <cellStyle name="Акцент6 67" xfId="23179" xr:uid="{00000000-0005-0000-0000-0000205D0000}"/>
    <cellStyle name="Акцент6 68" xfId="23180" xr:uid="{00000000-0005-0000-0000-0000215D0000}"/>
    <cellStyle name="Акцент6 69" xfId="23181" xr:uid="{00000000-0005-0000-0000-0000225D0000}"/>
    <cellStyle name="Акцент6 7" xfId="23182" xr:uid="{00000000-0005-0000-0000-0000235D0000}"/>
    <cellStyle name="Акцент6 7 2" xfId="23183" xr:uid="{00000000-0005-0000-0000-0000245D0000}"/>
    <cellStyle name="Акцент6 70" xfId="23184" xr:uid="{00000000-0005-0000-0000-0000255D0000}"/>
    <cellStyle name="Акцент6 71" xfId="23185" xr:uid="{00000000-0005-0000-0000-0000265D0000}"/>
    <cellStyle name="Акцент6 72" xfId="23186" xr:uid="{00000000-0005-0000-0000-0000275D0000}"/>
    <cellStyle name="Акцент6 73" xfId="23187" xr:uid="{00000000-0005-0000-0000-0000285D0000}"/>
    <cellStyle name="Акцент6 74" xfId="23188" xr:uid="{00000000-0005-0000-0000-0000295D0000}"/>
    <cellStyle name="Акцент6 75" xfId="23189" xr:uid="{00000000-0005-0000-0000-00002A5D0000}"/>
    <cellStyle name="Акцент6 76" xfId="23190" xr:uid="{00000000-0005-0000-0000-00002B5D0000}"/>
    <cellStyle name="Акцент6 77" xfId="23191" xr:uid="{00000000-0005-0000-0000-00002C5D0000}"/>
    <cellStyle name="Акцент6 78" xfId="23192" xr:uid="{00000000-0005-0000-0000-00002D5D0000}"/>
    <cellStyle name="Акцент6 79" xfId="23193" xr:uid="{00000000-0005-0000-0000-00002E5D0000}"/>
    <cellStyle name="Акцент6 8" xfId="23194" xr:uid="{00000000-0005-0000-0000-00002F5D0000}"/>
    <cellStyle name="Акцент6 8 2" xfId="23195" xr:uid="{00000000-0005-0000-0000-0000305D0000}"/>
    <cellStyle name="Акцент6 80" xfId="23196" xr:uid="{00000000-0005-0000-0000-0000315D0000}"/>
    <cellStyle name="Акцент6 81" xfId="23197" xr:uid="{00000000-0005-0000-0000-0000325D0000}"/>
    <cellStyle name="Акцент6 82" xfId="23198" xr:uid="{00000000-0005-0000-0000-0000335D0000}"/>
    <cellStyle name="Акцент6 83" xfId="23199" xr:uid="{00000000-0005-0000-0000-0000345D0000}"/>
    <cellStyle name="Акцент6 84" xfId="23200" xr:uid="{00000000-0005-0000-0000-0000355D0000}"/>
    <cellStyle name="Акцент6 85" xfId="23201" xr:uid="{00000000-0005-0000-0000-0000365D0000}"/>
    <cellStyle name="Акцент6 86" xfId="23202" xr:uid="{00000000-0005-0000-0000-0000375D0000}"/>
    <cellStyle name="Акцент6 87" xfId="23203" xr:uid="{00000000-0005-0000-0000-0000385D0000}"/>
    <cellStyle name="Акцент6 88" xfId="23204" xr:uid="{00000000-0005-0000-0000-0000395D0000}"/>
    <cellStyle name="Акцент6 89" xfId="23205" xr:uid="{00000000-0005-0000-0000-00003A5D0000}"/>
    <cellStyle name="Акцент6 9" xfId="23206" xr:uid="{00000000-0005-0000-0000-00003B5D0000}"/>
    <cellStyle name="Акцент6 9 2" xfId="23207" xr:uid="{00000000-0005-0000-0000-00003C5D0000}"/>
    <cellStyle name="Акцент6 90" xfId="23208" xr:uid="{00000000-0005-0000-0000-00003D5D0000}"/>
    <cellStyle name="Акцент6 91" xfId="23209" xr:uid="{00000000-0005-0000-0000-00003E5D0000}"/>
    <cellStyle name="Акцент6 92" xfId="23210" xr:uid="{00000000-0005-0000-0000-00003F5D0000}"/>
    <cellStyle name="Акцент6 93" xfId="23211" xr:uid="{00000000-0005-0000-0000-0000405D0000}"/>
    <cellStyle name="Акцент6 94" xfId="23212" xr:uid="{00000000-0005-0000-0000-0000415D0000}"/>
    <cellStyle name="Акцент6 95" xfId="23213" xr:uid="{00000000-0005-0000-0000-0000425D0000}"/>
    <cellStyle name="Акцент6 96" xfId="23214" xr:uid="{00000000-0005-0000-0000-0000435D0000}"/>
    <cellStyle name="Акцент6 97" xfId="23215" xr:uid="{00000000-0005-0000-0000-0000445D0000}"/>
    <cellStyle name="Акцент6 98" xfId="23216" xr:uid="{00000000-0005-0000-0000-0000455D0000}"/>
    <cellStyle name="Акцент6 99" xfId="23217" xr:uid="{00000000-0005-0000-0000-0000465D0000}"/>
    <cellStyle name="Ввод  10" xfId="23219" xr:uid="{00000000-0005-0000-0000-0000475D0000}"/>
    <cellStyle name="Ввод  10 2" xfId="23220" xr:uid="{00000000-0005-0000-0000-0000485D0000}"/>
    <cellStyle name="Ввод  10 3" xfId="23221" xr:uid="{00000000-0005-0000-0000-0000495D0000}"/>
    <cellStyle name="Ввод  10 4" xfId="23222" xr:uid="{00000000-0005-0000-0000-00004A5D0000}"/>
    <cellStyle name="Ввод  10 5" xfId="23223" xr:uid="{00000000-0005-0000-0000-00004B5D0000}"/>
    <cellStyle name="Ввод  10 6" xfId="23224" xr:uid="{00000000-0005-0000-0000-00004C5D0000}"/>
    <cellStyle name="Ввод  100" xfId="23225" xr:uid="{00000000-0005-0000-0000-00004D5D0000}"/>
    <cellStyle name="Ввод  101" xfId="23226" xr:uid="{00000000-0005-0000-0000-00004E5D0000}"/>
    <cellStyle name="Ввод  102" xfId="23227" xr:uid="{00000000-0005-0000-0000-00004F5D0000}"/>
    <cellStyle name="Ввод  103" xfId="23228" xr:uid="{00000000-0005-0000-0000-0000505D0000}"/>
    <cellStyle name="Ввод  104" xfId="23229" xr:uid="{00000000-0005-0000-0000-0000515D0000}"/>
    <cellStyle name="Ввод  105" xfId="23230" xr:uid="{00000000-0005-0000-0000-0000525D0000}"/>
    <cellStyle name="Ввод  106" xfId="23231" xr:uid="{00000000-0005-0000-0000-0000535D0000}"/>
    <cellStyle name="Ввод  107" xfId="23232" xr:uid="{00000000-0005-0000-0000-0000545D0000}"/>
    <cellStyle name="Ввод  108" xfId="23233" xr:uid="{00000000-0005-0000-0000-0000555D0000}"/>
    <cellStyle name="Ввод  109" xfId="23234" xr:uid="{00000000-0005-0000-0000-0000565D0000}"/>
    <cellStyle name="Ввод  11" xfId="23235" xr:uid="{00000000-0005-0000-0000-0000575D0000}"/>
    <cellStyle name="Ввод  11 2" xfId="23236" xr:uid="{00000000-0005-0000-0000-0000585D0000}"/>
    <cellStyle name="Ввод  11 3" xfId="23237" xr:uid="{00000000-0005-0000-0000-0000595D0000}"/>
    <cellStyle name="Ввод  11 4" xfId="23238" xr:uid="{00000000-0005-0000-0000-00005A5D0000}"/>
    <cellStyle name="Ввод  11 5" xfId="23239" xr:uid="{00000000-0005-0000-0000-00005B5D0000}"/>
    <cellStyle name="Ввод  11 6" xfId="23240" xr:uid="{00000000-0005-0000-0000-00005C5D0000}"/>
    <cellStyle name="Ввод  11 7" xfId="23241" xr:uid="{00000000-0005-0000-0000-00005D5D0000}"/>
    <cellStyle name="Ввод  110" xfId="23242" xr:uid="{00000000-0005-0000-0000-00005E5D0000}"/>
    <cellStyle name="Ввод  111" xfId="23243" xr:uid="{00000000-0005-0000-0000-00005F5D0000}"/>
    <cellStyle name="Ввод  112" xfId="23244" xr:uid="{00000000-0005-0000-0000-0000605D0000}"/>
    <cellStyle name="Ввод  113" xfId="23245" xr:uid="{00000000-0005-0000-0000-0000615D0000}"/>
    <cellStyle name="Ввод  114" xfId="23246" xr:uid="{00000000-0005-0000-0000-0000625D0000}"/>
    <cellStyle name="Ввод  115" xfId="23247" xr:uid="{00000000-0005-0000-0000-0000635D0000}"/>
    <cellStyle name="Ввод  116" xfId="23248" xr:uid="{00000000-0005-0000-0000-0000645D0000}"/>
    <cellStyle name="Ввод  117" xfId="23249" xr:uid="{00000000-0005-0000-0000-0000655D0000}"/>
    <cellStyle name="Ввод  118" xfId="23250" xr:uid="{00000000-0005-0000-0000-0000665D0000}"/>
    <cellStyle name="Ввод  119" xfId="23251" xr:uid="{00000000-0005-0000-0000-0000675D0000}"/>
    <cellStyle name="Ввод  12" xfId="23252" xr:uid="{00000000-0005-0000-0000-0000685D0000}"/>
    <cellStyle name="Ввод  12 2" xfId="23253" xr:uid="{00000000-0005-0000-0000-0000695D0000}"/>
    <cellStyle name="Ввод  12 3" xfId="23254" xr:uid="{00000000-0005-0000-0000-00006A5D0000}"/>
    <cellStyle name="Ввод  12 4" xfId="23255" xr:uid="{00000000-0005-0000-0000-00006B5D0000}"/>
    <cellStyle name="Ввод  12 5" xfId="23256" xr:uid="{00000000-0005-0000-0000-00006C5D0000}"/>
    <cellStyle name="Ввод  12 6" xfId="23257" xr:uid="{00000000-0005-0000-0000-00006D5D0000}"/>
    <cellStyle name="Ввод  120" xfId="23258" xr:uid="{00000000-0005-0000-0000-00006E5D0000}"/>
    <cellStyle name="Ввод  121" xfId="23259" xr:uid="{00000000-0005-0000-0000-00006F5D0000}"/>
    <cellStyle name="Ввод  122" xfId="23260" xr:uid="{00000000-0005-0000-0000-0000705D0000}"/>
    <cellStyle name="Ввод  123" xfId="23261" xr:uid="{00000000-0005-0000-0000-0000715D0000}"/>
    <cellStyle name="Ввод  124" xfId="23262" xr:uid="{00000000-0005-0000-0000-0000725D0000}"/>
    <cellStyle name="Ввод  125" xfId="23263" xr:uid="{00000000-0005-0000-0000-0000735D0000}"/>
    <cellStyle name="Ввод  126" xfId="23264" xr:uid="{00000000-0005-0000-0000-0000745D0000}"/>
    <cellStyle name="Ввод  127" xfId="23265" xr:uid="{00000000-0005-0000-0000-0000755D0000}"/>
    <cellStyle name="Ввод  128" xfId="23266" xr:uid="{00000000-0005-0000-0000-0000765D0000}"/>
    <cellStyle name="Ввод  129" xfId="23267" xr:uid="{00000000-0005-0000-0000-0000775D0000}"/>
    <cellStyle name="Ввод  13" xfId="23268" xr:uid="{00000000-0005-0000-0000-0000785D0000}"/>
    <cellStyle name="Ввод  13 2" xfId="23269" xr:uid="{00000000-0005-0000-0000-0000795D0000}"/>
    <cellStyle name="Ввод  13 3" xfId="23270" xr:uid="{00000000-0005-0000-0000-00007A5D0000}"/>
    <cellStyle name="Ввод  13 4" xfId="23271" xr:uid="{00000000-0005-0000-0000-00007B5D0000}"/>
    <cellStyle name="Ввод  13 5" xfId="23272" xr:uid="{00000000-0005-0000-0000-00007C5D0000}"/>
    <cellStyle name="Ввод  13 6" xfId="23273" xr:uid="{00000000-0005-0000-0000-00007D5D0000}"/>
    <cellStyle name="Ввод  130" xfId="23274" xr:uid="{00000000-0005-0000-0000-00007E5D0000}"/>
    <cellStyle name="Ввод  131" xfId="23275" xr:uid="{00000000-0005-0000-0000-00007F5D0000}"/>
    <cellStyle name="Ввод  132" xfId="23276" xr:uid="{00000000-0005-0000-0000-0000805D0000}"/>
    <cellStyle name="Ввод  133" xfId="23277" xr:uid="{00000000-0005-0000-0000-0000815D0000}"/>
    <cellStyle name="Ввод  134" xfId="23278" xr:uid="{00000000-0005-0000-0000-0000825D0000}"/>
    <cellStyle name="Ввод  135" xfId="23279" xr:uid="{00000000-0005-0000-0000-0000835D0000}"/>
    <cellStyle name="Ввод  136" xfId="23280" xr:uid="{00000000-0005-0000-0000-0000845D0000}"/>
    <cellStyle name="Ввод  137" xfId="23281" xr:uid="{00000000-0005-0000-0000-0000855D0000}"/>
    <cellStyle name="Ввод  138" xfId="23282" xr:uid="{00000000-0005-0000-0000-0000865D0000}"/>
    <cellStyle name="Ввод  139" xfId="23283" xr:uid="{00000000-0005-0000-0000-0000875D0000}"/>
    <cellStyle name="Ввод  14" xfId="23284" xr:uid="{00000000-0005-0000-0000-0000885D0000}"/>
    <cellStyle name="Ввод  14 2" xfId="23285" xr:uid="{00000000-0005-0000-0000-0000895D0000}"/>
    <cellStyle name="Ввод  14 3" xfId="23286" xr:uid="{00000000-0005-0000-0000-00008A5D0000}"/>
    <cellStyle name="Ввод  14 4" xfId="23287" xr:uid="{00000000-0005-0000-0000-00008B5D0000}"/>
    <cellStyle name="Ввод  14 5" xfId="23288" xr:uid="{00000000-0005-0000-0000-00008C5D0000}"/>
    <cellStyle name="Ввод  14 6" xfId="23289" xr:uid="{00000000-0005-0000-0000-00008D5D0000}"/>
    <cellStyle name="Ввод  140" xfId="23290" xr:uid="{00000000-0005-0000-0000-00008E5D0000}"/>
    <cellStyle name="Ввод  141" xfId="23291" xr:uid="{00000000-0005-0000-0000-00008F5D0000}"/>
    <cellStyle name="Ввод  142" xfId="23292" xr:uid="{00000000-0005-0000-0000-0000905D0000}"/>
    <cellStyle name="Ввод  143" xfId="23293" xr:uid="{00000000-0005-0000-0000-0000915D0000}"/>
    <cellStyle name="Ввод  144" xfId="23294" xr:uid="{00000000-0005-0000-0000-0000925D0000}"/>
    <cellStyle name="Ввод  145" xfId="23295" xr:uid="{00000000-0005-0000-0000-0000935D0000}"/>
    <cellStyle name="Ввод  146" xfId="23296" xr:uid="{00000000-0005-0000-0000-0000945D0000}"/>
    <cellStyle name="Ввод  147" xfId="23297" xr:uid="{00000000-0005-0000-0000-0000955D0000}"/>
    <cellStyle name="Ввод  148" xfId="23298" xr:uid="{00000000-0005-0000-0000-0000965D0000}"/>
    <cellStyle name="Ввод  149" xfId="23299" xr:uid="{00000000-0005-0000-0000-0000975D0000}"/>
    <cellStyle name="Ввод  15" xfId="23300" xr:uid="{00000000-0005-0000-0000-0000985D0000}"/>
    <cellStyle name="Ввод  15 2" xfId="23301" xr:uid="{00000000-0005-0000-0000-0000995D0000}"/>
    <cellStyle name="Ввод  15 3" xfId="23302" xr:uid="{00000000-0005-0000-0000-00009A5D0000}"/>
    <cellStyle name="Ввод  15 4" xfId="23303" xr:uid="{00000000-0005-0000-0000-00009B5D0000}"/>
    <cellStyle name="Ввод  15 5" xfId="23304" xr:uid="{00000000-0005-0000-0000-00009C5D0000}"/>
    <cellStyle name="Ввод  15 6" xfId="23305" xr:uid="{00000000-0005-0000-0000-00009D5D0000}"/>
    <cellStyle name="Ввод  150" xfId="23306" xr:uid="{00000000-0005-0000-0000-00009E5D0000}"/>
    <cellStyle name="Ввод  151" xfId="23307" xr:uid="{00000000-0005-0000-0000-00009F5D0000}"/>
    <cellStyle name="Ввод  152" xfId="23308" xr:uid="{00000000-0005-0000-0000-0000A05D0000}"/>
    <cellStyle name="Ввод  153" xfId="23309" xr:uid="{00000000-0005-0000-0000-0000A15D0000}"/>
    <cellStyle name="Ввод  154" xfId="23310" xr:uid="{00000000-0005-0000-0000-0000A25D0000}"/>
    <cellStyle name="Ввод  155" xfId="23311" xr:uid="{00000000-0005-0000-0000-0000A35D0000}"/>
    <cellStyle name="Ввод  156" xfId="23312" xr:uid="{00000000-0005-0000-0000-0000A45D0000}"/>
    <cellStyle name="Ввод  157" xfId="23313" xr:uid="{00000000-0005-0000-0000-0000A55D0000}"/>
    <cellStyle name="Ввод  158" xfId="23314" xr:uid="{00000000-0005-0000-0000-0000A65D0000}"/>
    <cellStyle name="Ввод  159" xfId="23315" xr:uid="{00000000-0005-0000-0000-0000A75D0000}"/>
    <cellStyle name="Ввод  16" xfId="23316" xr:uid="{00000000-0005-0000-0000-0000A85D0000}"/>
    <cellStyle name="Ввод  16 2" xfId="23317" xr:uid="{00000000-0005-0000-0000-0000A95D0000}"/>
    <cellStyle name="Ввод  16 3" xfId="23318" xr:uid="{00000000-0005-0000-0000-0000AA5D0000}"/>
    <cellStyle name="Ввод  16 4" xfId="23319" xr:uid="{00000000-0005-0000-0000-0000AB5D0000}"/>
    <cellStyle name="Ввод  16 5" xfId="23320" xr:uid="{00000000-0005-0000-0000-0000AC5D0000}"/>
    <cellStyle name="Ввод  16 6" xfId="23321" xr:uid="{00000000-0005-0000-0000-0000AD5D0000}"/>
    <cellStyle name="Ввод  160" xfId="23322" xr:uid="{00000000-0005-0000-0000-0000AE5D0000}"/>
    <cellStyle name="Ввод  161" xfId="23323" xr:uid="{00000000-0005-0000-0000-0000AF5D0000}"/>
    <cellStyle name="Ввод  162" xfId="23324" xr:uid="{00000000-0005-0000-0000-0000B05D0000}"/>
    <cellStyle name="Ввод  163" xfId="23325" xr:uid="{00000000-0005-0000-0000-0000B15D0000}"/>
    <cellStyle name="Ввод  164" xfId="23326" xr:uid="{00000000-0005-0000-0000-0000B25D0000}"/>
    <cellStyle name="Ввод  165" xfId="23327" xr:uid="{00000000-0005-0000-0000-0000B35D0000}"/>
    <cellStyle name="Ввод  166" xfId="23328" xr:uid="{00000000-0005-0000-0000-0000B45D0000}"/>
    <cellStyle name="Ввод  167" xfId="23329" xr:uid="{00000000-0005-0000-0000-0000B55D0000}"/>
    <cellStyle name="Ввод  168" xfId="23330" xr:uid="{00000000-0005-0000-0000-0000B65D0000}"/>
    <cellStyle name="Ввод  169" xfId="23331" xr:uid="{00000000-0005-0000-0000-0000B75D0000}"/>
    <cellStyle name="Ввод  17" xfId="23332" xr:uid="{00000000-0005-0000-0000-0000B85D0000}"/>
    <cellStyle name="Ввод  17 2" xfId="23333" xr:uid="{00000000-0005-0000-0000-0000B95D0000}"/>
    <cellStyle name="Ввод  17 3" xfId="23334" xr:uid="{00000000-0005-0000-0000-0000BA5D0000}"/>
    <cellStyle name="Ввод  17 4" xfId="23335" xr:uid="{00000000-0005-0000-0000-0000BB5D0000}"/>
    <cellStyle name="Ввод  17 5" xfId="23336" xr:uid="{00000000-0005-0000-0000-0000BC5D0000}"/>
    <cellStyle name="Ввод  17 6" xfId="23337" xr:uid="{00000000-0005-0000-0000-0000BD5D0000}"/>
    <cellStyle name="Ввод  170" xfId="23338" xr:uid="{00000000-0005-0000-0000-0000BE5D0000}"/>
    <cellStyle name="Ввод  171" xfId="23339" xr:uid="{00000000-0005-0000-0000-0000BF5D0000}"/>
    <cellStyle name="Ввод  172" xfId="23340" xr:uid="{00000000-0005-0000-0000-0000C05D0000}"/>
    <cellStyle name="Ввод  173" xfId="27899" xr:uid="{00000000-0005-0000-0000-0000C15D0000}"/>
    <cellStyle name="Ввод  174" xfId="23218" xr:uid="{00000000-0005-0000-0000-0000C25D0000}"/>
    <cellStyle name="Ввод  175" xfId="27967" xr:uid="{00000000-0005-0000-0000-0000C35D0000}"/>
    <cellStyle name="Ввод  18" xfId="23341" xr:uid="{00000000-0005-0000-0000-0000C45D0000}"/>
    <cellStyle name="Ввод  18 2" xfId="23342" xr:uid="{00000000-0005-0000-0000-0000C55D0000}"/>
    <cellStyle name="Ввод  18 3" xfId="23343" xr:uid="{00000000-0005-0000-0000-0000C65D0000}"/>
    <cellStyle name="Ввод  18 4" xfId="23344" xr:uid="{00000000-0005-0000-0000-0000C75D0000}"/>
    <cellStyle name="Ввод  18 5" xfId="23345" xr:uid="{00000000-0005-0000-0000-0000C85D0000}"/>
    <cellStyle name="Ввод  18 6" xfId="23346" xr:uid="{00000000-0005-0000-0000-0000C95D0000}"/>
    <cellStyle name="Ввод  19" xfId="23347" xr:uid="{00000000-0005-0000-0000-0000CA5D0000}"/>
    <cellStyle name="Ввод  19 2" xfId="23348" xr:uid="{00000000-0005-0000-0000-0000CB5D0000}"/>
    <cellStyle name="Ввод  19 3" xfId="23349" xr:uid="{00000000-0005-0000-0000-0000CC5D0000}"/>
    <cellStyle name="Ввод  19 4" xfId="23350" xr:uid="{00000000-0005-0000-0000-0000CD5D0000}"/>
    <cellStyle name="Ввод  19 5" xfId="23351" xr:uid="{00000000-0005-0000-0000-0000CE5D0000}"/>
    <cellStyle name="Ввод  19 6" xfId="23352" xr:uid="{00000000-0005-0000-0000-0000CF5D0000}"/>
    <cellStyle name="Ввод  2" xfId="23353" xr:uid="{00000000-0005-0000-0000-0000D05D0000}"/>
    <cellStyle name="Ввод  2 2" xfId="23354" xr:uid="{00000000-0005-0000-0000-0000D15D0000}"/>
    <cellStyle name="Ввод  2 2 2" xfId="23355" xr:uid="{00000000-0005-0000-0000-0000D25D0000}"/>
    <cellStyle name="Ввод  2 2 3" xfId="23356" xr:uid="{00000000-0005-0000-0000-0000D35D0000}"/>
    <cellStyle name="Ввод  2 2 4" xfId="23357" xr:uid="{00000000-0005-0000-0000-0000D45D0000}"/>
    <cellStyle name="Ввод  2 2 5" xfId="23358" xr:uid="{00000000-0005-0000-0000-0000D55D0000}"/>
    <cellStyle name="Ввод  2 2 6" xfId="23359" xr:uid="{00000000-0005-0000-0000-0000D65D0000}"/>
    <cellStyle name="Ввод  2 3" xfId="23360" xr:uid="{00000000-0005-0000-0000-0000D75D0000}"/>
    <cellStyle name="Ввод  2 4" xfId="23361" xr:uid="{00000000-0005-0000-0000-0000D85D0000}"/>
    <cellStyle name="Ввод  2 5" xfId="23362" xr:uid="{00000000-0005-0000-0000-0000D95D0000}"/>
    <cellStyle name="Ввод  2 6" xfId="23363" xr:uid="{00000000-0005-0000-0000-0000DA5D0000}"/>
    <cellStyle name="Ввод  2 7" xfId="23364" xr:uid="{00000000-0005-0000-0000-0000DB5D0000}"/>
    <cellStyle name="Ввод  2 8" xfId="27998" xr:uid="{00000000-0005-0000-0000-0000DC5D0000}"/>
    <cellStyle name="Ввод  2 9" xfId="28134" xr:uid="{00000000-0005-0000-0000-0000DD5D0000}"/>
    <cellStyle name="Ввод  20" xfId="23365" xr:uid="{00000000-0005-0000-0000-0000DE5D0000}"/>
    <cellStyle name="Ввод  20 2" xfId="23366" xr:uid="{00000000-0005-0000-0000-0000DF5D0000}"/>
    <cellStyle name="Ввод  21" xfId="23367" xr:uid="{00000000-0005-0000-0000-0000E05D0000}"/>
    <cellStyle name="Ввод  21 2" xfId="23368" xr:uid="{00000000-0005-0000-0000-0000E15D0000}"/>
    <cellStyle name="Ввод  22" xfId="23369" xr:uid="{00000000-0005-0000-0000-0000E25D0000}"/>
    <cellStyle name="Ввод  22 2" xfId="23370" xr:uid="{00000000-0005-0000-0000-0000E35D0000}"/>
    <cellStyle name="Ввод  23" xfId="23371" xr:uid="{00000000-0005-0000-0000-0000E45D0000}"/>
    <cellStyle name="Ввод  23 2" xfId="23372" xr:uid="{00000000-0005-0000-0000-0000E55D0000}"/>
    <cellStyle name="Ввод  24" xfId="23373" xr:uid="{00000000-0005-0000-0000-0000E65D0000}"/>
    <cellStyle name="Ввод  24 2" xfId="23374" xr:uid="{00000000-0005-0000-0000-0000E75D0000}"/>
    <cellStyle name="Ввод  25" xfId="23375" xr:uid="{00000000-0005-0000-0000-0000E85D0000}"/>
    <cellStyle name="Ввод  25 2" xfId="23376" xr:uid="{00000000-0005-0000-0000-0000E95D0000}"/>
    <cellStyle name="Ввод  26" xfId="23377" xr:uid="{00000000-0005-0000-0000-0000EA5D0000}"/>
    <cellStyle name="Ввод  26 2" xfId="23378" xr:uid="{00000000-0005-0000-0000-0000EB5D0000}"/>
    <cellStyle name="Ввод  27" xfId="23379" xr:uid="{00000000-0005-0000-0000-0000EC5D0000}"/>
    <cellStyle name="Ввод  27 2" xfId="23380" xr:uid="{00000000-0005-0000-0000-0000ED5D0000}"/>
    <cellStyle name="Ввод  28" xfId="23381" xr:uid="{00000000-0005-0000-0000-0000EE5D0000}"/>
    <cellStyle name="Ввод  28 2" xfId="23382" xr:uid="{00000000-0005-0000-0000-0000EF5D0000}"/>
    <cellStyle name="Ввод  29" xfId="23383" xr:uid="{00000000-0005-0000-0000-0000F05D0000}"/>
    <cellStyle name="Ввод  29 2" xfId="23384" xr:uid="{00000000-0005-0000-0000-0000F15D0000}"/>
    <cellStyle name="Ввод  3" xfId="23385" xr:uid="{00000000-0005-0000-0000-0000F25D0000}"/>
    <cellStyle name="Ввод  3 2" xfId="23386" xr:uid="{00000000-0005-0000-0000-0000F35D0000}"/>
    <cellStyle name="Ввод  3 2 2" xfId="23387" xr:uid="{00000000-0005-0000-0000-0000F45D0000}"/>
    <cellStyle name="Ввод  3 2 3" xfId="23388" xr:uid="{00000000-0005-0000-0000-0000F55D0000}"/>
    <cellStyle name="Ввод  3 2 4" xfId="23389" xr:uid="{00000000-0005-0000-0000-0000F65D0000}"/>
    <cellStyle name="Ввод  3 2 5" xfId="23390" xr:uid="{00000000-0005-0000-0000-0000F75D0000}"/>
    <cellStyle name="Ввод  3 2 6" xfId="23391" xr:uid="{00000000-0005-0000-0000-0000F85D0000}"/>
    <cellStyle name="Ввод  3 3" xfId="23392" xr:uid="{00000000-0005-0000-0000-0000F95D0000}"/>
    <cellStyle name="Ввод  3 4" xfId="23393" xr:uid="{00000000-0005-0000-0000-0000FA5D0000}"/>
    <cellStyle name="Ввод  3 5" xfId="23394" xr:uid="{00000000-0005-0000-0000-0000FB5D0000}"/>
    <cellStyle name="Ввод  3 6" xfId="23395" xr:uid="{00000000-0005-0000-0000-0000FC5D0000}"/>
    <cellStyle name="Ввод  3 7" xfId="23396" xr:uid="{00000000-0005-0000-0000-0000FD5D0000}"/>
    <cellStyle name="Ввод  30" xfId="23397" xr:uid="{00000000-0005-0000-0000-0000FE5D0000}"/>
    <cellStyle name="Ввод  30 2" xfId="23398" xr:uid="{00000000-0005-0000-0000-0000FF5D0000}"/>
    <cellStyle name="Ввод  31" xfId="23399" xr:uid="{00000000-0005-0000-0000-0000005E0000}"/>
    <cellStyle name="Ввод  31 2" xfId="23400" xr:uid="{00000000-0005-0000-0000-0000015E0000}"/>
    <cellStyle name="Ввод  32" xfId="23401" xr:uid="{00000000-0005-0000-0000-0000025E0000}"/>
    <cellStyle name="Ввод  32 2" xfId="27185" xr:uid="{00000000-0005-0000-0000-0000035E0000}"/>
    <cellStyle name="Ввод  33" xfId="23402" xr:uid="{00000000-0005-0000-0000-0000045E0000}"/>
    <cellStyle name="Ввод  33 2" xfId="27212" xr:uid="{00000000-0005-0000-0000-0000055E0000}"/>
    <cellStyle name="Ввод  34" xfId="23403" xr:uid="{00000000-0005-0000-0000-0000065E0000}"/>
    <cellStyle name="Ввод  34 2" xfId="27227" xr:uid="{00000000-0005-0000-0000-0000075E0000}"/>
    <cellStyle name="Ввод  35" xfId="23404" xr:uid="{00000000-0005-0000-0000-0000085E0000}"/>
    <cellStyle name="Ввод  35 2" xfId="27236" xr:uid="{00000000-0005-0000-0000-0000095E0000}"/>
    <cellStyle name="Ввод  36" xfId="23405" xr:uid="{00000000-0005-0000-0000-00000A5E0000}"/>
    <cellStyle name="Ввод  36 2" xfId="27290" xr:uid="{00000000-0005-0000-0000-00000B5E0000}"/>
    <cellStyle name="Ввод  37" xfId="23406" xr:uid="{00000000-0005-0000-0000-00000C5E0000}"/>
    <cellStyle name="Ввод  37 2" xfId="27300" xr:uid="{00000000-0005-0000-0000-00000D5E0000}"/>
    <cellStyle name="Ввод  38" xfId="23407" xr:uid="{00000000-0005-0000-0000-00000E5E0000}"/>
    <cellStyle name="Ввод  38 2" xfId="27277" xr:uid="{00000000-0005-0000-0000-00000F5E0000}"/>
    <cellStyle name="Ввод  39" xfId="23408" xr:uid="{00000000-0005-0000-0000-0000105E0000}"/>
    <cellStyle name="Ввод  39 2" xfId="27312" xr:uid="{00000000-0005-0000-0000-0000115E0000}"/>
    <cellStyle name="Ввод  4" xfId="23409" xr:uid="{00000000-0005-0000-0000-0000125E0000}"/>
    <cellStyle name="Ввод  4 2" xfId="23410" xr:uid="{00000000-0005-0000-0000-0000135E0000}"/>
    <cellStyle name="Ввод  4 3" xfId="23411" xr:uid="{00000000-0005-0000-0000-0000145E0000}"/>
    <cellStyle name="Ввод  4 4" xfId="23412" xr:uid="{00000000-0005-0000-0000-0000155E0000}"/>
    <cellStyle name="Ввод  4 5" xfId="23413" xr:uid="{00000000-0005-0000-0000-0000165E0000}"/>
    <cellStyle name="Ввод  4 6" xfId="23414" xr:uid="{00000000-0005-0000-0000-0000175E0000}"/>
    <cellStyle name="Ввод  40" xfId="23415" xr:uid="{00000000-0005-0000-0000-0000185E0000}"/>
    <cellStyle name="Ввод  40 2" xfId="27382" xr:uid="{00000000-0005-0000-0000-0000195E0000}"/>
    <cellStyle name="Ввод  41" xfId="23416" xr:uid="{00000000-0005-0000-0000-00001A5E0000}"/>
    <cellStyle name="Ввод  41 2" xfId="27362" xr:uid="{00000000-0005-0000-0000-00001B5E0000}"/>
    <cellStyle name="Ввод  42" xfId="23417" xr:uid="{00000000-0005-0000-0000-00001C5E0000}"/>
    <cellStyle name="Ввод  42 2" xfId="27375" xr:uid="{00000000-0005-0000-0000-00001D5E0000}"/>
    <cellStyle name="Ввод  43" xfId="23418" xr:uid="{00000000-0005-0000-0000-00001E5E0000}"/>
    <cellStyle name="Ввод  43 2" xfId="27349" xr:uid="{00000000-0005-0000-0000-00001F5E0000}"/>
    <cellStyle name="Ввод  44" xfId="23419" xr:uid="{00000000-0005-0000-0000-0000205E0000}"/>
    <cellStyle name="Ввод  44 2" xfId="27421" xr:uid="{00000000-0005-0000-0000-0000215E0000}"/>
    <cellStyle name="Ввод  45" xfId="23420" xr:uid="{00000000-0005-0000-0000-0000225E0000}"/>
    <cellStyle name="Ввод  45 2" xfId="27485" xr:uid="{00000000-0005-0000-0000-0000235E0000}"/>
    <cellStyle name="Ввод  46" xfId="23421" xr:uid="{00000000-0005-0000-0000-0000245E0000}"/>
    <cellStyle name="Ввод  46 2" xfId="27490" xr:uid="{00000000-0005-0000-0000-0000255E0000}"/>
    <cellStyle name="Ввод  47" xfId="23422" xr:uid="{00000000-0005-0000-0000-0000265E0000}"/>
    <cellStyle name="Ввод  47 2" xfId="27472" xr:uid="{00000000-0005-0000-0000-0000275E0000}"/>
    <cellStyle name="Ввод  48" xfId="23423" xr:uid="{00000000-0005-0000-0000-0000285E0000}"/>
    <cellStyle name="Ввод  48 2" xfId="27503" xr:uid="{00000000-0005-0000-0000-0000295E0000}"/>
    <cellStyle name="Ввод  49" xfId="23424" xr:uid="{00000000-0005-0000-0000-00002A5E0000}"/>
    <cellStyle name="Ввод  49 2" xfId="27572" xr:uid="{00000000-0005-0000-0000-00002B5E0000}"/>
    <cellStyle name="Ввод  5" xfId="23425" xr:uid="{00000000-0005-0000-0000-00002C5E0000}"/>
    <cellStyle name="Ввод  5 2" xfId="23426" xr:uid="{00000000-0005-0000-0000-00002D5E0000}"/>
    <cellStyle name="Ввод  5 3" xfId="23427" xr:uid="{00000000-0005-0000-0000-00002E5E0000}"/>
    <cellStyle name="Ввод  5 4" xfId="23428" xr:uid="{00000000-0005-0000-0000-00002F5E0000}"/>
    <cellStyle name="Ввод  5 5" xfId="23429" xr:uid="{00000000-0005-0000-0000-0000305E0000}"/>
    <cellStyle name="Ввод  5 6" xfId="23430" xr:uid="{00000000-0005-0000-0000-0000315E0000}"/>
    <cellStyle name="Ввод  50" xfId="23431" xr:uid="{00000000-0005-0000-0000-0000325E0000}"/>
    <cellStyle name="Ввод  50 2" xfId="27566" xr:uid="{00000000-0005-0000-0000-0000335E0000}"/>
    <cellStyle name="Ввод  51" xfId="23432" xr:uid="{00000000-0005-0000-0000-0000345E0000}"/>
    <cellStyle name="Ввод  51 2" xfId="27558" xr:uid="{00000000-0005-0000-0000-0000355E0000}"/>
    <cellStyle name="Ввод  52" xfId="23433" xr:uid="{00000000-0005-0000-0000-0000365E0000}"/>
    <cellStyle name="Ввод  52 2" xfId="27589" xr:uid="{00000000-0005-0000-0000-0000375E0000}"/>
    <cellStyle name="Ввод  53" xfId="23434" xr:uid="{00000000-0005-0000-0000-0000385E0000}"/>
    <cellStyle name="Ввод  53 2" xfId="27629" xr:uid="{00000000-0005-0000-0000-0000395E0000}"/>
    <cellStyle name="Ввод  54" xfId="23435" xr:uid="{00000000-0005-0000-0000-00003A5E0000}"/>
    <cellStyle name="Ввод  54 2" xfId="27684" xr:uid="{00000000-0005-0000-0000-00003B5E0000}"/>
    <cellStyle name="Ввод  55" xfId="23436" xr:uid="{00000000-0005-0000-0000-00003C5E0000}"/>
    <cellStyle name="Ввод  55 2" xfId="27693" xr:uid="{00000000-0005-0000-0000-00003D5E0000}"/>
    <cellStyle name="Ввод  56" xfId="23437" xr:uid="{00000000-0005-0000-0000-00003E5E0000}"/>
    <cellStyle name="Ввод  56 2" xfId="27671" xr:uid="{00000000-0005-0000-0000-00003F5E0000}"/>
    <cellStyle name="Ввод  57" xfId="23438" xr:uid="{00000000-0005-0000-0000-0000405E0000}"/>
    <cellStyle name="Ввод  57 2" xfId="27706" xr:uid="{00000000-0005-0000-0000-0000415E0000}"/>
    <cellStyle name="Ввод  58" xfId="23439" xr:uid="{00000000-0005-0000-0000-0000425E0000}"/>
    <cellStyle name="Ввод  58 2" xfId="27654" xr:uid="{00000000-0005-0000-0000-0000435E0000}"/>
    <cellStyle name="Ввод  59" xfId="23440" xr:uid="{00000000-0005-0000-0000-0000445E0000}"/>
    <cellStyle name="Ввод  59 2" xfId="27768" xr:uid="{00000000-0005-0000-0000-0000455E0000}"/>
    <cellStyle name="Ввод  6" xfId="23441" xr:uid="{00000000-0005-0000-0000-0000465E0000}"/>
    <cellStyle name="Ввод  6 2" xfId="23442" xr:uid="{00000000-0005-0000-0000-0000475E0000}"/>
    <cellStyle name="Ввод  6 3" xfId="23443" xr:uid="{00000000-0005-0000-0000-0000485E0000}"/>
    <cellStyle name="Ввод  6 4" xfId="23444" xr:uid="{00000000-0005-0000-0000-0000495E0000}"/>
    <cellStyle name="Ввод  6 5" xfId="23445" xr:uid="{00000000-0005-0000-0000-00004A5E0000}"/>
    <cellStyle name="Ввод  6 6" xfId="23446" xr:uid="{00000000-0005-0000-0000-00004B5E0000}"/>
    <cellStyle name="Ввод  60" xfId="23447" xr:uid="{00000000-0005-0000-0000-00004C5E0000}"/>
    <cellStyle name="Ввод  61" xfId="23448" xr:uid="{00000000-0005-0000-0000-00004D5E0000}"/>
    <cellStyle name="Ввод  62" xfId="23449" xr:uid="{00000000-0005-0000-0000-00004E5E0000}"/>
    <cellStyle name="Ввод  63" xfId="23450" xr:uid="{00000000-0005-0000-0000-00004F5E0000}"/>
    <cellStyle name="Ввод  64" xfId="23451" xr:uid="{00000000-0005-0000-0000-0000505E0000}"/>
    <cellStyle name="Ввод  65" xfId="23452" xr:uid="{00000000-0005-0000-0000-0000515E0000}"/>
    <cellStyle name="Ввод  66" xfId="23453" xr:uid="{00000000-0005-0000-0000-0000525E0000}"/>
    <cellStyle name="Ввод  67" xfId="23454" xr:uid="{00000000-0005-0000-0000-0000535E0000}"/>
    <cellStyle name="Ввод  68" xfId="23455" xr:uid="{00000000-0005-0000-0000-0000545E0000}"/>
    <cellStyle name="Ввод  69" xfId="23456" xr:uid="{00000000-0005-0000-0000-0000555E0000}"/>
    <cellStyle name="Ввод  7" xfId="23457" xr:uid="{00000000-0005-0000-0000-0000565E0000}"/>
    <cellStyle name="Ввод  7 2" xfId="23458" xr:uid="{00000000-0005-0000-0000-0000575E0000}"/>
    <cellStyle name="Ввод  7 3" xfId="23459" xr:uid="{00000000-0005-0000-0000-0000585E0000}"/>
    <cellStyle name="Ввод  7 4" xfId="23460" xr:uid="{00000000-0005-0000-0000-0000595E0000}"/>
    <cellStyle name="Ввод  7 5" xfId="23461" xr:uid="{00000000-0005-0000-0000-00005A5E0000}"/>
    <cellStyle name="Ввод  7 6" xfId="23462" xr:uid="{00000000-0005-0000-0000-00005B5E0000}"/>
    <cellStyle name="Ввод  70" xfId="23463" xr:uid="{00000000-0005-0000-0000-00005C5E0000}"/>
    <cellStyle name="Ввод  71" xfId="23464" xr:uid="{00000000-0005-0000-0000-00005D5E0000}"/>
    <cellStyle name="Ввод  72" xfId="23465" xr:uid="{00000000-0005-0000-0000-00005E5E0000}"/>
    <cellStyle name="Ввод  73" xfId="23466" xr:uid="{00000000-0005-0000-0000-00005F5E0000}"/>
    <cellStyle name="Ввод  74" xfId="23467" xr:uid="{00000000-0005-0000-0000-0000605E0000}"/>
    <cellStyle name="Ввод  75" xfId="23468" xr:uid="{00000000-0005-0000-0000-0000615E0000}"/>
    <cellStyle name="Ввод  76" xfId="23469" xr:uid="{00000000-0005-0000-0000-0000625E0000}"/>
    <cellStyle name="Ввод  77" xfId="23470" xr:uid="{00000000-0005-0000-0000-0000635E0000}"/>
    <cellStyle name="Ввод  78" xfId="23471" xr:uid="{00000000-0005-0000-0000-0000645E0000}"/>
    <cellStyle name="Ввод  79" xfId="23472" xr:uid="{00000000-0005-0000-0000-0000655E0000}"/>
    <cellStyle name="Ввод  8" xfId="23473" xr:uid="{00000000-0005-0000-0000-0000665E0000}"/>
    <cellStyle name="Ввод  8 2" xfId="23474" xr:uid="{00000000-0005-0000-0000-0000675E0000}"/>
    <cellStyle name="Ввод  8 3" xfId="23475" xr:uid="{00000000-0005-0000-0000-0000685E0000}"/>
    <cellStyle name="Ввод  8 4" xfId="23476" xr:uid="{00000000-0005-0000-0000-0000695E0000}"/>
    <cellStyle name="Ввод  8 5" xfId="23477" xr:uid="{00000000-0005-0000-0000-00006A5E0000}"/>
    <cellStyle name="Ввод  8 6" xfId="23478" xr:uid="{00000000-0005-0000-0000-00006B5E0000}"/>
    <cellStyle name="Ввод  80" xfId="23479" xr:uid="{00000000-0005-0000-0000-00006C5E0000}"/>
    <cellStyle name="Ввод  81" xfId="23480" xr:uid="{00000000-0005-0000-0000-00006D5E0000}"/>
    <cellStyle name="Ввод  82" xfId="23481" xr:uid="{00000000-0005-0000-0000-00006E5E0000}"/>
    <cellStyle name="Ввод  83" xfId="23482" xr:uid="{00000000-0005-0000-0000-00006F5E0000}"/>
    <cellStyle name="Ввод  84" xfId="23483" xr:uid="{00000000-0005-0000-0000-0000705E0000}"/>
    <cellStyle name="Ввод  85" xfId="23484" xr:uid="{00000000-0005-0000-0000-0000715E0000}"/>
    <cellStyle name="Ввод  86" xfId="23485" xr:uid="{00000000-0005-0000-0000-0000725E0000}"/>
    <cellStyle name="Ввод  87" xfId="23486" xr:uid="{00000000-0005-0000-0000-0000735E0000}"/>
    <cellStyle name="Ввод  88" xfId="23487" xr:uid="{00000000-0005-0000-0000-0000745E0000}"/>
    <cellStyle name="Ввод  89" xfId="23488" xr:uid="{00000000-0005-0000-0000-0000755E0000}"/>
    <cellStyle name="Ввод  9" xfId="23489" xr:uid="{00000000-0005-0000-0000-0000765E0000}"/>
    <cellStyle name="Ввод  9 2" xfId="23490" xr:uid="{00000000-0005-0000-0000-0000775E0000}"/>
    <cellStyle name="Ввод  9 3" xfId="23491" xr:uid="{00000000-0005-0000-0000-0000785E0000}"/>
    <cellStyle name="Ввод  9 4" xfId="23492" xr:uid="{00000000-0005-0000-0000-0000795E0000}"/>
    <cellStyle name="Ввод  9 5" xfId="23493" xr:uid="{00000000-0005-0000-0000-00007A5E0000}"/>
    <cellStyle name="Ввод  9 6" xfId="23494" xr:uid="{00000000-0005-0000-0000-00007B5E0000}"/>
    <cellStyle name="Ввод  90" xfId="23495" xr:uid="{00000000-0005-0000-0000-00007C5E0000}"/>
    <cellStyle name="Ввод  91" xfId="23496" xr:uid="{00000000-0005-0000-0000-00007D5E0000}"/>
    <cellStyle name="Ввод  92" xfId="23497" xr:uid="{00000000-0005-0000-0000-00007E5E0000}"/>
    <cellStyle name="Ввод  93" xfId="23498" xr:uid="{00000000-0005-0000-0000-00007F5E0000}"/>
    <cellStyle name="Ввод  94" xfId="23499" xr:uid="{00000000-0005-0000-0000-0000805E0000}"/>
    <cellStyle name="Ввод  95" xfId="23500" xr:uid="{00000000-0005-0000-0000-0000815E0000}"/>
    <cellStyle name="Ввод  96" xfId="23501" xr:uid="{00000000-0005-0000-0000-0000825E0000}"/>
    <cellStyle name="Ввод  97" xfId="23502" xr:uid="{00000000-0005-0000-0000-0000835E0000}"/>
    <cellStyle name="Ввод  98" xfId="23503" xr:uid="{00000000-0005-0000-0000-0000845E0000}"/>
    <cellStyle name="Ввод  99" xfId="23504" xr:uid="{00000000-0005-0000-0000-0000855E0000}"/>
    <cellStyle name="Вывод 10" xfId="23506" xr:uid="{00000000-0005-0000-0000-0000865E0000}"/>
    <cellStyle name="Вывод 10 2" xfId="23507" xr:uid="{00000000-0005-0000-0000-0000875E0000}"/>
    <cellStyle name="Вывод 10 3" xfId="23508" xr:uid="{00000000-0005-0000-0000-0000885E0000}"/>
    <cellStyle name="Вывод 10 4" xfId="23509" xr:uid="{00000000-0005-0000-0000-0000895E0000}"/>
    <cellStyle name="Вывод 100" xfId="23510" xr:uid="{00000000-0005-0000-0000-00008A5E0000}"/>
    <cellStyle name="Вывод 101" xfId="23511" xr:uid="{00000000-0005-0000-0000-00008B5E0000}"/>
    <cellStyle name="Вывод 102" xfId="23512" xr:uid="{00000000-0005-0000-0000-00008C5E0000}"/>
    <cellStyle name="Вывод 103" xfId="23513" xr:uid="{00000000-0005-0000-0000-00008D5E0000}"/>
    <cellStyle name="Вывод 104" xfId="23514" xr:uid="{00000000-0005-0000-0000-00008E5E0000}"/>
    <cellStyle name="Вывод 105" xfId="23515" xr:uid="{00000000-0005-0000-0000-00008F5E0000}"/>
    <cellStyle name="Вывод 106" xfId="23516" xr:uid="{00000000-0005-0000-0000-0000905E0000}"/>
    <cellStyle name="Вывод 107" xfId="23517" xr:uid="{00000000-0005-0000-0000-0000915E0000}"/>
    <cellStyle name="Вывод 108" xfId="23518" xr:uid="{00000000-0005-0000-0000-0000925E0000}"/>
    <cellStyle name="Вывод 109" xfId="23519" xr:uid="{00000000-0005-0000-0000-0000935E0000}"/>
    <cellStyle name="Вывод 11" xfId="23520" xr:uid="{00000000-0005-0000-0000-0000945E0000}"/>
    <cellStyle name="Вывод 11 2" xfId="23521" xr:uid="{00000000-0005-0000-0000-0000955E0000}"/>
    <cellStyle name="Вывод 11 3" xfId="23522" xr:uid="{00000000-0005-0000-0000-0000965E0000}"/>
    <cellStyle name="Вывод 11 4" xfId="23523" xr:uid="{00000000-0005-0000-0000-0000975E0000}"/>
    <cellStyle name="Вывод 11 5" xfId="23524" xr:uid="{00000000-0005-0000-0000-0000985E0000}"/>
    <cellStyle name="Вывод 110" xfId="23525" xr:uid="{00000000-0005-0000-0000-0000995E0000}"/>
    <cellStyle name="Вывод 111" xfId="23526" xr:uid="{00000000-0005-0000-0000-00009A5E0000}"/>
    <cellStyle name="Вывод 112" xfId="23527" xr:uid="{00000000-0005-0000-0000-00009B5E0000}"/>
    <cellStyle name="Вывод 113" xfId="23528" xr:uid="{00000000-0005-0000-0000-00009C5E0000}"/>
    <cellStyle name="Вывод 114" xfId="23529" xr:uid="{00000000-0005-0000-0000-00009D5E0000}"/>
    <cellStyle name="Вывод 115" xfId="23530" xr:uid="{00000000-0005-0000-0000-00009E5E0000}"/>
    <cellStyle name="Вывод 116" xfId="23531" xr:uid="{00000000-0005-0000-0000-00009F5E0000}"/>
    <cellStyle name="Вывод 117" xfId="23532" xr:uid="{00000000-0005-0000-0000-0000A05E0000}"/>
    <cellStyle name="Вывод 118" xfId="23533" xr:uid="{00000000-0005-0000-0000-0000A15E0000}"/>
    <cellStyle name="Вывод 119" xfId="23534" xr:uid="{00000000-0005-0000-0000-0000A25E0000}"/>
    <cellStyle name="Вывод 12" xfId="23535" xr:uid="{00000000-0005-0000-0000-0000A35E0000}"/>
    <cellStyle name="Вывод 12 2" xfId="23536" xr:uid="{00000000-0005-0000-0000-0000A45E0000}"/>
    <cellStyle name="Вывод 12 3" xfId="23537" xr:uid="{00000000-0005-0000-0000-0000A55E0000}"/>
    <cellStyle name="Вывод 12 4" xfId="23538" xr:uid="{00000000-0005-0000-0000-0000A65E0000}"/>
    <cellStyle name="Вывод 120" xfId="23539" xr:uid="{00000000-0005-0000-0000-0000A75E0000}"/>
    <cellStyle name="Вывод 121" xfId="23540" xr:uid="{00000000-0005-0000-0000-0000A85E0000}"/>
    <cellStyle name="Вывод 122" xfId="23541" xr:uid="{00000000-0005-0000-0000-0000A95E0000}"/>
    <cellStyle name="Вывод 123" xfId="23542" xr:uid="{00000000-0005-0000-0000-0000AA5E0000}"/>
    <cellStyle name="Вывод 124" xfId="23543" xr:uid="{00000000-0005-0000-0000-0000AB5E0000}"/>
    <cellStyle name="Вывод 125" xfId="23544" xr:uid="{00000000-0005-0000-0000-0000AC5E0000}"/>
    <cellStyle name="Вывод 126" xfId="23545" xr:uid="{00000000-0005-0000-0000-0000AD5E0000}"/>
    <cellStyle name="Вывод 127" xfId="23546" xr:uid="{00000000-0005-0000-0000-0000AE5E0000}"/>
    <cellStyle name="Вывод 128" xfId="23547" xr:uid="{00000000-0005-0000-0000-0000AF5E0000}"/>
    <cellStyle name="Вывод 129" xfId="23548" xr:uid="{00000000-0005-0000-0000-0000B05E0000}"/>
    <cellStyle name="Вывод 13" xfId="23549" xr:uid="{00000000-0005-0000-0000-0000B15E0000}"/>
    <cellStyle name="Вывод 13 2" xfId="23550" xr:uid="{00000000-0005-0000-0000-0000B25E0000}"/>
    <cellStyle name="Вывод 13 3" xfId="23551" xr:uid="{00000000-0005-0000-0000-0000B35E0000}"/>
    <cellStyle name="Вывод 13 4" xfId="23552" xr:uid="{00000000-0005-0000-0000-0000B45E0000}"/>
    <cellStyle name="Вывод 130" xfId="23553" xr:uid="{00000000-0005-0000-0000-0000B55E0000}"/>
    <cellStyle name="Вывод 131" xfId="23554" xr:uid="{00000000-0005-0000-0000-0000B65E0000}"/>
    <cellStyle name="Вывод 132" xfId="23555" xr:uid="{00000000-0005-0000-0000-0000B75E0000}"/>
    <cellStyle name="Вывод 133" xfId="23556" xr:uid="{00000000-0005-0000-0000-0000B85E0000}"/>
    <cellStyle name="Вывод 134" xfId="23557" xr:uid="{00000000-0005-0000-0000-0000B95E0000}"/>
    <cellStyle name="Вывод 135" xfId="23558" xr:uid="{00000000-0005-0000-0000-0000BA5E0000}"/>
    <cellStyle name="Вывод 136" xfId="23559" xr:uid="{00000000-0005-0000-0000-0000BB5E0000}"/>
    <cellStyle name="Вывод 137" xfId="23560" xr:uid="{00000000-0005-0000-0000-0000BC5E0000}"/>
    <cellStyle name="Вывод 138" xfId="23561" xr:uid="{00000000-0005-0000-0000-0000BD5E0000}"/>
    <cellStyle name="Вывод 139" xfId="23562" xr:uid="{00000000-0005-0000-0000-0000BE5E0000}"/>
    <cellStyle name="Вывод 14" xfId="23563" xr:uid="{00000000-0005-0000-0000-0000BF5E0000}"/>
    <cellStyle name="Вывод 14 2" xfId="23564" xr:uid="{00000000-0005-0000-0000-0000C05E0000}"/>
    <cellStyle name="Вывод 14 3" xfId="23565" xr:uid="{00000000-0005-0000-0000-0000C15E0000}"/>
    <cellStyle name="Вывод 14 4" xfId="23566" xr:uid="{00000000-0005-0000-0000-0000C25E0000}"/>
    <cellStyle name="Вывод 14 5" xfId="23567" xr:uid="{00000000-0005-0000-0000-0000C35E0000}"/>
    <cellStyle name="Вывод 14 6" xfId="23568" xr:uid="{00000000-0005-0000-0000-0000C45E0000}"/>
    <cellStyle name="Вывод 140" xfId="23569" xr:uid="{00000000-0005-0000-0000-0000C55E0000}"/>
    <cellStyle name="Вывод 141" xfId="23570" xr:uid="{00000000-0005-0000-0000-0000C65E0000}"/>
    <cellStyle name="Вывод 142" xfId="23571" xr:uid="{00000000-0005-0000-0000-0000C75E0000}"/>
    <cellStyle name="Вывод 143" xfId="23572" xr:uid="{00000000-0005-0000-0000-0000C85E0000}"/>
    <cellStyle name="Вывод 144" xfId="23573" xr:uid="{00000000-0005-0000-0000-0000C95E0000}"/>
    <cellStyle name="Вывод 145" xfId="23574" xr:uid="{00000000-0005-0000-0000-0000CA5E0000}"/>
    <cellStyle name="Вывод 146" xfId="23575" xr:uid="{00000000-0005-0000-0000-0000CB5E0000}"/>
    <cellStyle name="Вывод 147" xfId="23576" xr:uid="{00000000-0005-0000-0000-0000CC5E0000}"/>
    <cellStyle name="Вывод 148" xfId="23577" xr:uid="{00000000-0005-0000-0000-0000CD5E0000}"/>
    <cellStyle name="Вывод 149" xfId="23578" xr:uid="{00000000-0005-0000-0000-0000CE5E0000}"/>
    <cellStyle name="Вывод 15" xfId="23579" xr:uid="{00000000-0005-0000-0000-0000CF5E0000}"/>
    <cellStyle name="Вывод 15 2" xfId="23580" xr:uid="{00000000-0005-0000-0000-0000D05E0000}"/>
    <cellStyle name="Вывод 15 3" xfId="23581" xr:uid="{00000000-0005-0000-0000-0000D15E0000}"/>
    <cellStyle name="Вывод 15 4" xfId="23582" xr:uid="{00000000-0005-0000-0000-0000D25E0000}"/>
    <cellStyle name="Вывод 15 5" xfId="23583" xr:uid="{00000000-0005-0000-0000-0000D35E0000}"/>
    <cellStyle name="Вывод 15 6" xfId="23584" xr:uid="{00000000-0005-0000-0000-0000D45E0000}"/>
    <cellStyle name="Вывод 150" xfId="23585" xr:uid="{00000000-0005-0000-0000-0000D55E0000}"/>
    <cellStyle name="Вывод 151" xfId="23586" xr:uid="{00000000-0005-0000-0000-0000D65E0000}"/>
    <cellStyle name="Вывод 152" xfId="23587" xr:uid="{00000000-0005-0000-0000-0000D75E0000}"/>
    <cellStyle name="Вывод 153" xfId="23588" xr:uid="{00000000-0005-0000-0000-0000D85E0000}"/>
    <cellStyle name="Вывод 154" xfId="23589" xr:uid="{00000000-0005-0000-0000-0000D95E0000}"/>
    <cellStyle name="Вывод 155" xfId="23590" xr:uid="{00000000-0005-0000-0000-0000DA5E0000}"/>
    <cellStyle name="Вывод 156" xfId="23591" xr:uid="{00000000-0005-0000-0000-0000DB5E0000}"/>
    <cellStyle name="Вывод 157" xfId="23592" xr:uid="{00000000-0005-0000-0000-0000DC5E0000}"/>
    <cellStyle name="Вывод 158" xfId="23593" xr:uid="{00000000-0005-0000-0000-0000DD5E0000}"/>
    <cellStyle name="Вывод 159" xfId="23594" xr:uid="{00000000-0005-0000-0000-0000DE5E0000}"/>
    <cellStyle name="Вывод 16" xfId="23595" xr:uid="{00000000-0005-0000-0000-0000DF5E0000}"/>
    <cellStyle name="Вывод 16 2" xfId="23596" xr:uid="{00000000-0005-0000-0000-0000E05E0000}"/>
    <cellStyle name="Вывод 16 3" xfId="23597" xr:uid="{00000000-0005-0000-0000-0000E15E0000}"/>
    <cellStyle name="Вывод 16 4" xfId="23598" xr:uid="{00000000-0005-0000-0000-0000E25E0000}"/>
    <cellStyle name="Вывод 16 5" xfId="23599" xr:uid="{00000000-0005-0000-0000-0000E35E0000}"/>
    <cellStyle name="Вывод 16 6" xfId="23600" xr:uid="{00000000-0005-0000-0000-0000E45E0000}"/>
    <cellStyle name="Вывод 160" xfId="23601" xr:uid="{00000000-0005-0000-0000-0000E55E0000}"/>
    <cellStyle name="Вывод 161" xfId="23602" xr:uid="{00000000-0005-0000-0000-0000E65E0000}"/>
    <cellStyle name="Вывод 162" xfId="23603" xr:uid="{00000000-0005-0000-0000-0000E75E0000}"/>
    <cellStyle name="Вывод 163" xfId="23604" xr:uid="{00000000-0005-0000-0000-0000E85E0000}"/>
    <cellStyle name="Вывод 164" xfId="23605" xr:uid="{00000000-0005-0000-0000-0000E95E0000}"/>
    <cellStyle name="Вывод 165" xfId="23606" xr:uid="{00000000-0005-0000-0000-0000EA5E0000}"/>
    <cellStyle name="Вывод 166" xfId="23607" xr:uid="{00000000-0005-0000-0000-0000EB5E0000}"/>
    <cellStyle name="Вывод 167" xfId="23608" xr:uid="{00000000-0005-0000-0000-0000EC5E0000}"/>
    <cellStyle name="Вывод 168" xfId="23609" xr:uid="{00000000-0005-0000-0000-0000ED5E0000}"/>
    <cellStyle name="Вывод 169" xfId="23610" xr:uid="{00000000-0005-0000-0000-0000EE5E0000}"/>
    <cellStyle name="Вывод 17" xfId="23611" xr:uid="{00000000-0005-0000-0000-0000EF5E0000}"/>
    <cellStyle name="Вывод 17 2" xfId="23612" xr:uid="{00000000-0005-0000-0000-0000F05E0000}"/>
    <cellStyle name="Вывод 17 3" xfId="23613" xr:uid="{00000000-0005-0000-0000-0000F15E0000}"/>
    <cellStyle name="Вывод 17 4" xfId="23614" xr:uid="{00000000-0005-0000-0000-0000F25E0000}"/>
    <cellStyle name="Вывод 17 5" xfId="23615" xr:uid="{00000000-0005-0000-0000-0000F35E0000}"/>
    <cellStyle name="Вывод 17 6" xfId="23616" xr:uid="{00000000-0005-0000-0000-0000F45E0000}"/>
    <cellStyle name="Вывод 170" xfId="23617" xr:uid="{00000000-0005-0000-0000-0000F55E0000}"/>
    <cellStyle name="Вывод 171" xfId="23618" xr:uid="{00000000-0005-0000-0000-0000F65E0000}"/>
    <cellStyle name="Вывод 172" xfId="23619" xr:uid="{00000000-0005-0000-0000-0000F75E0000}"/>
    <cellStyle name="Вывод 173" xfId="27901" xr:uid="{00000000-0005-0000-0000-0000F85E0000}"/>
    <cellStyle name="Вывод 174" xfId="23505" xr:uid="{00000000-0005-0000-0000-0000F95E0000}"/>
    <cellStyle name="Вывод 18" xfId="23620" xr:uid="{00000000-0005-0000-0000-0000FA5E0000}"/>
    <cellStyle name="Вывод 18 2" xfId="23621" xr:uid="{00000000-0005-0000-0000-0000FB5E0000}"/>
    <cellStyle name="Вывод 18 3" xfId="23622" xr:uid="{00000000-0005-0000-0000-0000FC5E0000}"/>
    <cellStyle name="Вывод 18 4" xfId="23623" xr:uid="{00000000-0005-0000-0000-0000FD5E0000}"/>
    <cellStyle name="Вывод 18 5" xfId="23624" xr:uid="{00000000-0005-0000-0000-0000FE5E0000}"/>
    <cellStyle name="Вывод 18 6" xfId="23625" xr:uid="{00000000-0005-0000-0000-0000FF5E0000}"/>
    <cellStyle name="Вывод 19" xfId="23626" xr:uid="{00000000-0005-0000-0000-0000005F0000}"/>
    <cellStyle name="Вывод 19 2" xfId="23627" xr:uid="{00000000-0005-0000-0000-0000015F0000}"/>
    <cellStyle name="Вывод 19 3" xfId="23628" xr:uid="{00000000-0005-0000-0000-0000025F0000}"/>
    <cellStyle name="Вывод 19 4" xfId="23629" xr:uid="{00000000-0005-0000-0000-0000035F0000}"/>
    <cellStyle name="Вывод 19 5" xfId="23630" xr:uid="{00000000-0005-0000-0000-0000045F0000}"/>
    <cellStyle name="Вывод 2" xfId="23631" xr:uid="{00000000-0005-0000-0000-0000055F0000}"/>
    <cellStyle name="Вывод 2 2" xfId="23632" xr:uid="{00000000-0005-0000-0000-0000065F0000}"/>
    <cellStyle name="Вывод 2 2 2" xfId="23633" xr:uid="{00000000-0005-0000-0000-0000075F0000}"/>
    <cellStyle name="Вывод 2 2 3" xfId="23634" xr:uid="{00000000-0005-0000-0000-0000085F0000}"/>
    <cellStyle name="Вывод 2 2 4" xfId="23635" xr:uid="{00000000-0005-0000-0000-0000095F0000}"/>
    <cellStyle name="Вывод 2 3" xfId="23636" xr:uid="{00000000-0005-0000-0000-00000A5F0000}"/>
    <cellStyle name="Вывод 2 4" xfId="23637" xr:uid="{00000000-0005-0000-0000-00000B5F0000}"/>
    <cellStyle name="Вывод 2 5" xfId="23638" xr:uid="{00000000-0005-0000-0000-00000C5F0000}"/>
    <cellStyle name="Вывод 2 6" xfId="28001" xr:uid="{00000000-0005-0000-0000-00000D5F0000}"/>
    <cellStyle name="Вывод 2 7" xfId="28135" xr:uid="{00000000-0005-0000-0000-00000E5F0000}"/>
    <cellStyle name="Вывод 20" xfId="23639" xr:uid="{00000000-0005-0000-0000-00000F5F0000}"/>
    <cellStyle name="Вывод 20 2" xfId="23640" xr:uid="{00000000-0005-0000-0000-0000105F0000}"/>
    <cellStyle name="Вывод 21" xfId="23641" xr:uid="{00000000-0005-0000-0000-0000115F0000}"/>
    <cellStyle name="Вывод 21 2" xfId="23642" xr:uid="{00000000-0005-0000-0000-0000125F0000}"/>
    <cellStyle name="Вывод 22" xfId="23643" xr:uid="{00000000-0005-0000-0000-0000135F0000}"/>
    <cellStyle name="Вывод 22 2" xfId="23644" xr:uid="{00000000-0005-0000-0000-0000145F0000}"/>
    <cellStyle name="Вывод 23" xfId="23645" xr:uid="{00000000-0005-0000-0000-0000155F0000}"/>
    <cellStyle name="Вывод 23 2" xfId="23646" xr:uid="{00000000-0005-0000-0000-0000165F0000}"/>
    <cellStyle name="Вывод 24" xfId="23647" xr:uid="{00000000-0005-0000-0000-0000175F0000}"/>
    <cellStyle name="Вывод 24 2" xfId="23648" xr:uid="{00000000-0005-0000-0000-0000185F0000}"/>
    <cellStyle name="Вывод 25" xfId="23649" xr:uid="{00000000-0005-0000-0000-0000195F0000}"/>
    <cellStyle name="Вывод 25 2" xfId="23650" xr:uid="{00000000-0005-0000-0000-00001A5F0000}"/>
    <cellStyle name="Вывод 26" xfId="23651" xr:uid="{00000000-0005-0000-0000-00001B5F0000}"/>
    <cellStyle name="Вывод 26 2" xfId="23652" xr:uid="{00000000-0005-0000-0000-00001C5F0000}"/>
    <cellStyle name="Вывод 27" xfId="23653" xr:uid="{00000000-0005-0000-0000-00001D5F0000}"/>
    <cellStyle name="Вывод 27 2" xfId="23654" xr:uid="{00000000-0005-0000-0000-00001E5F0000}"/>
    <cellStyle name="Вывод 28" xfId="23655" xr:uid="{00000000-0005-0000-0000-00001F5F0000}"/>
    <cellStyle name="Вывод 28 2" xfId="23656" xr:uid="{00000000-0005-0000-0000-0000205F0000}"/>
    <cellStyle name="Вывод 29" xfId="23657" xr:uid="{00000000-0005-0000-0000-0000215F0000}"/>
    <cellStyle name="Вывод 29 2" xfId="23658" xr:uid="{00000000-0005-0000-0000-0000225F0000}"/>
    <cellStyle name="Вывод 3" xfId="23659" xr:uid="{00000000-0005-0000-0000-0000235F0000}"/>
    <cellStyle name="Вывод 3 2" xfId="23660" xr:uid="{00000000-0005-0000-0000-0000245F0000}"/>
    <cellStyle name="Вывод 3 2 2" xfId="23661" xr:uid="{00000000-0005-0000-0000-0000255F0000}"/>
    <cellStyle name="Вывод 3 2 3" xfId="23662" xr:uid="{00000000-0005-0000-0000-0000265F0000}"/>
    <cellStyle name="Вывод 3 2 4" xfId="23663" xr:uid="{00000000-0005-0000-0000-0000275F0000}"/>
    <cellStyle name="Вывод 3 3" xfId="23664" xr:uid="{00000000-0005-0000-0000-0000285F0000}"/>
    <cellStyle name="Вывод 3 4" xfId="23665" xr:uid="{00000000-0005-0000-0000-0000295F0000}"/>
    <cellStyle name="Вывод 3 5" xfId="23666" xr:uid="{00000000-0005-0000-0000-00002A5F0000}"/>
    <cellStyle name="Вывод 30" xfId="23667" xr:uid="{00000000-0005-0000-0000-00002B5F0000}"/>
    <cellStyle name="Вывод 30 2" xfId="23668" xr:uid="{00000000-0005-0000-0000-00002C5F0000}"/>
    <cellStyle name="Вывод 31" xfId="23669" xr:uid="{00000000-0005-0000-0000-00002D5F0000}"/>
    <cellStyle name="Вывод 31 2" xfId="23670" xr:uid="{00000000-0005-0000-0000-00002E5F0000}"/>
    <cellStyle name="Вывод 32" xfId="23671" xr:uid="{00000000-0005-0000-0000-00002F5F0000}"/>
    <cellStyle name="Вывод 32 2" xfId="27189" xr:uid="{00000000-0005-0000-0000-0000305F0000}"/>
    <cellStyle name="Вывод 33" xfId="23672" xr:uid="{00000000-0005-0000-0000-0000315F0000}"/>
    <cellStyle name="Вывод 33 2" xfId="27216" xr:uid="{00000000-0005-0000-0000-0000325F0000}"/>
    <cellStyle name="Вывод 34" xfId="23673" xr:uid="{00000000-0005-0000-0000-0000335F0000}"/>
    <cellStyle name="Вывод 34 2" xfId="27231" xr:uid="{00000000-0005-0000-0000-0000345F0000}"/>
    <cellStyle name="Вывод 35" xfId="23674" xr:uid="{00000000-0005-0000-0000-0000355F0000}"/>
    <cellStyle name="Вывод 35 2" xfId="27232" xr:uid="{00000000-0005-0000-0000-0000365F0000}"/>
    <cellStyle name="Вывод 36" xfId="23675" xr:uid="{00000000-0005-0000-0000-0000375F0000}"/>
    <cellStyle name="Вывод 36 2" xfId="27294" xr:uid="{00000000-0005-0000-0000-0000385F0000}"/>
    <cellStyle name="Вывод 37" xfId="23676" xr:uid="{00000000-0005-0000-0000-0000395F0000}"/>
    <cellStyle name="Вывод 37 2" xfId="27296" xr:uid="{00000000-0005-0000-0000-00003A5F0000}"/>
    <cellStyle name="Вывод 38" xfId="23677" xr:uid="{00000000-0005-0000-0000-00003B5F0000}"/>
    <cellStyle name="Вывод 38 2" xfId="27284" xr:uid="{00000000-0005-0000-0000-00003C5F0000}"/>
    <cellStyle name="Вывод 39" xfId="23678" xr:uid="{00000000-0005-0000-0000-00003D5F0000}"/>
    <cellStyle name="Вывод 39 2" xfId="27295" xr:uid="{00000000-0005-0000-0000-00003E5F0000}"/>
    <cellStyle name="Вывод 4" xfId="23679" xr:uid="{00000000-0005-0000-0000-00003F5F0000}"/>
    <cellStyle name="Вывод 4 2" xfId="23680" xr:uid="{00000000-0005-0000-0000-0000405F0000}"/>
    <cellStyle name="Вывод 4 3" xfId="23681" xr:uid="{00000000-0005-0000-0000-0000415F0000}"/>
    <cellStyle name="Вывод 4 4" xfId="23682" xr:uid="{00000000-0005-0000-0000-0000425F0000}"/>
    <cellStyle name="Вывод 40" xfId="23683" xr:uid="{00000000-0005-0000-0000-0000435F0000}"/>
    <cellStyle name="Вывод 40 2" xfId="27386" xr:uid="{00000000-0005-0000-0000-0000445F0000}"/>
    <cellStyle name="Вывод 41" xfId="23684" xr:uid="{00000000-0005-0000-0000-0000455F0000}"/>
    <cellStyle name="Вывод 41 2" xfId="27357" xr:uid="{00000000-0005-0000-0000-0000465F0000}"/>
    <cellStyle name="Вывод 42" xfId="23685" xr:uid="{00000000-0005-0000-0000-0000475F0000}"/>
    <cellStyle name="Вывод 42 2" xfId="27393" xr:uid="{00000000-0005-0000-0000-0000485F0000}"/>
    <cellStyle name="Вывод 43" xfId="23686" xr:uid="{00000000-0005-0000-0000-0000495F0000}"/>
    <cellStyle name="Вывод 43 2" xfId="27414" xr:uid="{00000000-0005-0000-0000-00004A5F0000}"/>
    <cellStyle name="Вывод 44" xfId="23687" xr:uid="{00000000-0005-0000-0000-00004B5F0000}"/>
    <cellStyle name="Вывод 44 2" xfId="27415" xr:uid="{00000000-0005-0000-0000-00004C5F0000}"/>
    <cellStyle name="Вывод 45" xfId="23688" xr:uid="{00000000-0005-0000-0000-00004D5F0000}"/>
    <cellStyle name="Вывод 45 2" xfId="27489" xr:uid="{00000000-0005-0000-0000-00004E5F0000}"/>
    <cellStyle name="Вывод 46" xfId="23689" xr:uid="{00000000-0005-0000-0000-00004F5F0000}"/>
    <cellStyle name="Вывод 46 2" xfId="27473" xr:uid="{00000000-0005-0000-0000-0000505F0000}"/>
    <cellStyle name="Вывод 47" xfId="23690" xr:uid="{00000000-0005-0000-0000-0000515F0000}"/>
    <cellStyle name="Вывод 47 2" xfId="27502" xr:uid="{00000000-0005-0000-0000-0000525F0000}"/>
    <cellStyle name="Вывод 48" xfId="23691" xr:uid="{00000000-0005-0000-0000-0000535F0000}"/>
    <cellStyle name="Вывод 48 2" xfId="27456" xr:uid="{00000000-0005-0000-0000-0000545F0000}"/>
    <cellStyle name="Вывод 49" xfId="23692" xr:uid="{00000000-0005-0000-0000-0000555F0000}"/>
    <cellStyle name="Вывод 49 2" xfId="27576" xr:uid="{00000000-0005-0000-0000-0000565F0000}"/>
    <cellStyle name="Вывод 5" xfId="23693" xr:uid="{00000000-0005-0000-0000-0000575F0000}"/>
    <cellStyle name="Вывод 5 2" xfId="23694" xr:uid="{00000000-0005-0000-0000-0000585F0000}"/>
    <cellStyle name="Вывод 5 3" xfId="23695" xr:uid="{00000000-0005-0000-0000-0000595F0000}"/>
    <cellStyle name="Вывод 5 4" xfId="23696" xr:uid="{00000000-0005-0000-0000-00005A5F0000}"/>
    <cellStyle name="Вывод 50" xfId="23697" xr:uid="{00000000-0005-0000-0000-00005B5F0000}"/>
    <cellStyle name="Вывод 50 2" xfId="27559" xr:uid="{00000000-0005-0000-0000-00005C5F0000}"/>
    <cellStyle name="Вывод 51" xfId="23698" xr:uid="{00000000-0005-0000-0000-00005D5F0000}"/>
    <cellStyle name="Вывод 51 2" xfId="27588" xr:uid="{00000000-0005-0000-0000-00005E5F0000}"/>
    <cellStyle name="Вывод 52" xfId="23699" xr:uid="{00000000-0005-0000-0000-00005F5F0000}"/>
    <cellStyle name="Вывод 52 2" xfId="27542" xr:uid="{00000000-0005-0000-0000-0000605F0000}"/>
    <cellStyle name="Вывод 53" xfId="23700" xr:uid="{00000000-0005-0000-0000-0000615F0000}"/>
    <cellStyle name="Вывод 53 2" xfId="27636" xr:uid="{00000000-0005-0000-0000-0000625F0000}"/>
    <cellStyle name="Вывод 54" xfId="23701" xr:uid="{00000000-0005-0000-0000-0000635F0000}"/>
    <cellStyle name="Вывод 54 2" xfId="27688" xr:uid="{00000000-0005-0000-0000-0000645F0000}"/>
    <cellStyle name="Вывод 55" xfId="23702" xr:uid="{00000000-0005-0000-0000-0000655F0000}"/>
    <cellStyle name="Вывод 55 2" xfId="27689" xr:uid="{00000000-0005-0000-0000-0000665F0000}"/>
    <cellStyle name="Вывод 56" xfId="23703" xr:uid="{00000000-0005-0000-0000-0000675F0000}"/>
    <cellStyle name="Вывод 56 2" xfId="27678" xr:uid="{00000000-0005-0000-0000-0000685F0000}"/>
    <cellStyle name="Вывод 57" xfId="23704" xr:uid="{00000000-0005-0000-0000-0000695F0000}"/>
    <cellStyle name="Вывод 57 2" xfId="27699" xr:uid="{00000000-0005-0000-0000-00006A5F0000}"/>
    <cellStyle name="Вывод 58" xfId="23705" xr:uid="{00000000-0005-0000-0000-00006B5F0000}"/>
    <cellStyle name="Вывод 58 2" xfId="27663" xr:uid="{00000000-0005-0000-0000-00006C5F0000}"/>
    <cellStyle name="Вывод 59" xfId="23706" xr:uid="{00000000-0005-0000-0000-00006D5F0000}"/>
    <cellStyle name="Вывод 59 2" xfId="27772" xr:uid="{00000000-0005-0000-0000-00006E5F0000}"/>
    <cellStyle name="Вывод 6" xfId="23707" xr:uid="{00000000-0005-0000-0000-00006F5F0000}"/>
    <cellStyle name="Вывод 6 2" xfId="23708" xr:uid="{00000000-0005-0000-0000-0000705F0000}"/>
    <cellStyle name="Вывод 6 3" xfId="23709" xr:uid="{00000000-0005-0000-0000-0000715F0000}"/>
    <cellStyle name="Вывод 6 4" xfId="23710" xr:uid="{00000000-0005-0000-0000-0000725F0000}"/>
    <cellStyle name="Вывод 60" xfId="23711" xr:uid="{00000000-0005-0000-0000-0000735F0000}"/>
    <cellStyle name="Вывод 61" xfId="23712" xr:uid="{00000000-0005-0000-0000-0000745F0000}"/>
    <cellStyle name="Вывод 62" xfId="23713" xr:uid="{00000000-0005-0000-0000-0000755F0000}"/>
    <cellStyle name="Вывод 63" xfId="23714" xr:uid="{00000000-0005-0000-0000-0000765F0000}"/>
    <cellStyle name="Вывод 64" xfId="23715" xr:uid="{00000000-0005-0000-0000-0000775F0000}"/>
    <cellStyle name="Вывод 65" xfId="23716" xr:uid="{00000000-0005-0000-0000-0000785F0000}"/>
    <cellStyle name="Вывод 66" xfId="23717" xr:uid="{00000000-0005-0000-0000-0000795F0000}"/>
    <cellStyle name="Вывод 67" xfId="23718" xr:uid="{00000000-0005-0000-0000-00007A5F0000}"/>
    <cellStyle name="Вывод 68" xfId="23719" xr:uid="{00000000-0005-0000-0000-00007B5F0000}"/>
    <cellStyle name="Вывод 69" xfId="23720" xr:uid="{00000000-0005-0000-0000-00007C5F0000}"/>
    <cellStyle name="Вывод 7" xfId="23721" xr:uid="{00000000-0005-0000-0000-00007D5F0000}"/>
    <cellStyle name="Вывод 7 2" xfId="23722" xr:uid="{00000000-0005-0000-0000-00007E5F0000}"/>
    <cellStyle name="Вывод 7 3" xfId="23723" xr:uid="{00000000-0005-0000-0000-00007F5F0000}"/>
    <cellStyle name="Вывод 7 4" xfId="23724" xr:uid="{00000000-0005-0000-0000-0000805F0000}"/>
    <cellStyle name="Вывод 70" xfId="23725" xr:uid="{00000000-0005-0000-0000-0000815F0000}"/>
    <cellStyle name="Вывод 71" xfId="23726" xr:uid="{00000000-0005-0000-0000-0000825F0000}"/>
    <cellStyle name="Вывод 72" xfId="23727" xr:uid="{00000000-0005-0000-0000-0000835F0000}"/>
    <cellStyle name="Вывод 73" xfId="23728" xr:uid="{00000000-0005-0000-0000-0000845F0000}"/>
    <cellStyle name="Вывод 74" xfId="23729" xr:uid="{00000000-0005-0000-0000-0000855F0000}"/>
    <cellStyle name="Вывод 75" xfId="23730" xr:uid="{00000000-0005-0000-0000-0000865F0000}"/>
    <cellStyle name="Вывод 76" xfId="23731" xr:uid="{00000000-0005-0000-0000-0000875F0000}"/>
    <cellStyle name="Вывод 77" xfId="23732" xr:uid="{00000000-0005-0000-0000-0000885F0000}"/>
    <cellStyle name="Вывод 78" xfId="23733" xr:uid="{00000000-0005-0000-0000-0000895F0000}"/>
    <cellStyle name="Вывод 79" xfId="23734" xr:uid="{00000000-0005-0000-0000-00008A5F0000}"/>
    <cellStyle name="Вывод 8" xfId="23735" xr:uid="{00000000-0005-0000-0000-00008B5F0000}"/>
    <cellStyle name="Вывод 8 2" xfId="23736" xr:uid="{00000000-0005-0000-0000-00008C5F0000}"/>
    <cellStyle name="Вывод 8 3" xfId="23737" xr:uid="{00000000-0005-0000-0000-00008D5F0000}"/>
    <cellStyle name="Вывод 8 4" xfId="23738" xr:uid="{00000000-0005-0000-0000-00008E5F0000}"/>
    <cellStyle name="Вывод 80" xfId="23739" xr:uid="{00000000-0005-0000-0000-00008F5F0000}"/>
    <cellStyle name="Вывод 81" xfId="23740" xr:uid="{00000000-0005-0000-0000-0000905F0000}"/>
    <cellStyle name="Вывод 82" xfId="23741" xr:uid="{00000000-0005-0000-0000-0000915F0000}"/>
    <cellStyle name="Вывод 83" xfId="23742" xr:uid="{00000000-0005-0000-0000-0000925F0000}"/>
    <cellStyle name="Вывод 84" xfId="23743" xr:uid="{00000000-0005-0000-0000-0000935F0000}"/>
    <cellStyle name="Вывод 85" xfId="23744" xr:uid="{00000000-0005-0000-0000-0000945F0000}"/>
    <cellStyle name="Вывод 86" xfId="23745" xr:uid="{00000000-0005-0000-0000-0000955F0000}"/>
    <cellStyle name="Вывод 87" xfId="23746" xr:uid="{00000000-0005-0000-0000-0000965F0000}"/>
    <cellStyle name="Вывод 88" xfId="23747" xr:uid="{00000000-0005-0000-0000-0000975F0000}"/>
    <cellStyle name="Вывод 89" xfId="23748" xr:uid="{00000000-0005-0000-0000-0000985F0000}"/>
    <cellStyle name="Вывод 9" xfId="23749" xr:uid="{00000000-0005-0000-0000-0000995F0000}"/>
    <cellStyle name="Вывод 9 2" xfId="23750" xr:uid="{00000000-0005-0000-0000-00009A5F0000}"/>
    <cellStyle name="Вывод 9 3" xfId="23751" xr:uid="{00000000-0005-0000-0000-00009B5F0000}"/>
    <cellStyle name="Вывод 9 4" xfId="23752" xr:uid="{00000000-0005-0000-0000-00009C5F0000}"/>
    <cellStyle name="Вывод 90" xfId="23753" xr:uid="{00000000-0005-0000-0000-00009D5F0000}"/>
    <cellStyle name="Вывод 91" xfId="23754" xr:uid="{00000000-0005-0000-0000-00009E5F0000}"/>
    <cellStyle name="Вывод 92" xfId="23755" xr:uid="{00000000-0005-0000-0000-00009F5F0000}"/>
    <cellStyle name="Вывод 93" xfId="23756" xr:uid="{00000000-0005-0000-0000-0000A05F0000}"/>
    <cellStyle name="Вывод 94" xfId="23757" xr:uid="{00000000-0005-0000-0000-0000A15F0000}"/>
    <cellStyle name="Вывод 95" xfId="23758" xr:uid="{00000000-0005-0000-0000-0000A25F0000}"/>
    <cellStyle name="Вывод 96" xfId="23759" xr:uid="{00000000-0005-0000-0000-0000A35F0000}"/>
    <cellStyle name="Вывод 97" xfId="23760" xr:uid="{00000000-0005-0000-0000-0000A45F0000}"/>
    <cellStyle name="Вывод 98" xfId="23761" xr:uid="{00000000-0005-0000-0000-0000A55F0000}"/>
    <cellStyle name="Вывод 99" xfId="23762" xr:uid="{00000000-0005-0000-0000-0000A65F0000}"/>
    <cellStyle name="Вычисление 10" xfId="23764" xr:uid="{00000000-0005-0000-0000-0000A75F0000}"/>
    <cellStyle name="Вычисление 10 2" xfId="23765" xr:uid="{00000000-0005-0000-0000-0000A85F0000}"/>
    <cellStyle name="Вычисление 10 3" xfId="23766" xr:uid="{00000000-0005-0000-0000-0000A95F0000}"/>
    <cellStyle name="Вычисление 10 4" xfId="23767" xr:uid="{00000000-0005-0000-0000-0000AA5F0000}"/>
    <cellStyle name="Вычисление 10 5" xfId="23768" xr:uid="{00000000-0005-0000-0000-0000AB5F0000}"/>
    <cellStyle name="Вычисление 10 6" xfId="23769" xr:uid="{00000000-0005-0000-0000-0000AC5F0000}"/>
    <cellStyle name="Вычисление 100" xfId="23770" xr:uid="{00000000-0005-0000-0000-0000AD5F0000}"/>
    <cellStyle name="Вычисление 101" xfId="23771" xr:uid="{00000000-0005-0000-0000-0000AE5F0000}"/>
    <cellStyle name="Вычисление 102" xfId="23772" xr:uid="{00000000-0005-0000-0000-0000AF5F0000}"/>
    <cellStyle name="Вычисление 103" xfId="23773" xr:uid="{00000000-0005-0000-0000-0000B05F0000}"/>
    <cellStyle name="Вычисление 104" xfId="23774" xr:uid="{00000000-0005-0000-0000-0000B15F0000}"/>
    <cellStyle name="Вычисление 105" xfId="23775" xr:uid="{00000000-0005-0000-0000-0000B25F0000}"/>
    <cellStyle name="Вычисление 106" xfId="23776" xr:uid="{00000000-0005-0000-0000-0000B35F0000}"/>
    <cellStyle name="Вычисление 107" xfId="23777" xr:uid="{00000000-0005-0000-0000-0000B45F0000}"/>
    <cellStyle name="Вычисление 108" xfId="23778" xr:uid="{00000000-0005-0000-0000-0000B55F0000}"/>
    <cellStyle name="Вычисление 109" xfId="23779" xr:uid="{00000000-0005-0000-0000-0000B65F0000}"/>
    <cellStyle name="Вычисление 11" xfId="23780" xr:uid="{00000000-0005-0000-0000-0000B75F0000}"/>
    <cellStyle name="Вычисление 11 2" xfId="23781" xr:uid="{00000000-0005-0000-0000-0000B85F0000}"/>
    <cellStyle name="Вычисление 11 3" xfId="23782" xr:uid="{00000000-0005-0000-0000-0000B95F0000}"/>
    <cellStyle name="Вычисление 11 4" xfId="23783" xr:uid="{00000000-0005-0000-0000-0000BA5F0000}"/>
    <cellStyle name="Вычисление 11 5" xfId="23784" xr:uid="{00000000-0005-0000-0000-0000BB5F0000}"/>
    <cellStyle name="Вычисление 11 6" xfId="23785" xr:uid="{00000000-0005-0000-0000-0000BC5F0000}"/>
    <cellStyle name="Вычисление 11 7" xfId="23786" xr:uid="{00000000-0005-0000-0000-0000BD5F0000}"/>
    <cellStyle name="Вычисление 110" xfId="23787" xr:uid="{00000000-0005-0000-0000-0000BE5F0000}"/>
    <cellStyle name="Вычисление 111" xfId="23788" xr:uid="{00000000-0005-0000-0000-0000BF5F0000}"/>
    <cellStyle name="Вычисление 112" xfId="23789" xr:uid="{00000000-0005-0000-0000-0000C05F0000}"/>
    <cellStyle name="Вычисление 113" xfId="23790" xr:uid="{00000000-0005-0000-0000-0000C15F0000}"/>
    <cellStyle name="Вычисление 114" xfId="23791" xr:uid="{00000000-0005-0000-0000-0000C25F0000}"/>
    <cellStyle name="Вычисление 115" xfId="23792" xr:uid="{00000000-0005-0000-0000-0000C35F0000}"/>
    <cellStyle name="Вычисление 116" xfId="23793" xr:uid="{00000000-0005-0000-0000-0000C45F0000}"/>
    <cellStyle name="Вычисление 117" xfId="23794" xr:uid="{00000000-0005-0000-0000-0000C55F0000}"/>
    <cellStyle name="Вычисление 118" xfId="23795" xr:uid="{00000000-0005-0000-0000-0000C65F0000}"/>
    <cellStyle name="Вычисление 119" xfId="23796" xr:uid="{00000000-0005-0000-0000-0000C75F0000}"/>
    <cellStyle name="Вычисление 12" xfId="23797" xr:uid="{00000000-0005-0000-0000-0000C85F0000}"/>
    <cellStyle name="Вычисление 12 2" xfId="23798" xr:uid="{00000000-0005-0000-0000-0000C95F0000}"/>
    <cellStyle name="Вычисление 12 3" xfId="23799" xr:uid="{00000000-0005-0000-0000-0000CA5F0000}"/>
    <cellStyle name="Вычисление 12 4" xfId="23800" xr:uid="{00000000-0005-0000-0000-0000CB5F0000}"/>
    <cellStyle name="Вычисление 12 5" xfId="23801" xr:uid="{00000000-0005-0000-0000-0000CC5F0000}"/>
    <cellStyle name="Вычисление 12 6" xfId="23802" xr:uid="{00000000-0005-0000-0000-0000CD5F0000}"/>
    <cellStyle name="Вычисление 120" xfId="23803" xr:uid="{00000000-0005-0000-0000-0000CE5F0000}"/>
    <cellStyle name="Вычисление 121" xfId="23804" xr:uid="{00000000-0005-0000-0000-0000CF5F0000}"/>
    <cellStyle name="Вычисление 122" xfId="23805" xr:uid="{00000000-0005-0000-0000-0000D05F0000}"/>
    <cellStyle name="Вычисление 123" xfId="23806" xr:uid="{00000000-0005-0000-0000-0000D15F0000}"/>
    <cellStyle name="Вычисление 124" xfId="23807" xr:uid="{00000000-0005-0000-0000-0000D25F0000}"/>
    <cellStyle name="Вычисление 125" xfId="23808" xr:uid="{00000000-0005-0000-0000-0000D35F0000}"/>
    <cellStyle name="Вычисление 126" xfId="23809" xr:uid="{00000000-0005-0000-0000-0000D45F0000}"/>
    <cellStyle name="Вычисление 127" xfId="23810" xr:uid="{00000000-0005-0000-0000-0000D55F0000}"/>
    <cellStyle name="Вычисление 128" xfId="23811" xr:uid="{00000000-0005-0000-0000-0000D65F0000}"/>
    <cellStyle name="Вычисление 129" xfId="23812" xr:uid="{00000000-0005-0000-0000-0000D75F0000}"/>
    <cellStyle name="Вычисление 13" xfId="23813" xr:uid="{00000000-0005-0000-0000-0000D85F0000}"/>
    <cellStyle name="Вычисление 13 2" xfId="23814" xr:uid="{00000000-0005-0000-0000-0000D95F0000}"/>
    <cellStyle name="Вычисление 13 3" xfId="23815" xr:uid="{00000000-0005-0000-0000-0000DA5F0000}"/>
    <cellStyle name="Вычисление 13 4" xfId="23816" xr:uid="{00000000-0005-0000-0000-0000DB5F0000}"/>
    <cellStyle name="Вычисление 13 5" xfId="23817" xr:uid="{00000000-0005-0000-0000-0000DC5F0000}"/>
    <cellStyle name="Вычисление 13 6" xfId="23818" xr:uid="{00000000-0005-0000-0000-0000DD5F0000}"/>
    <cellStyle name="Вычисление 130" xfId="23819" xr:uid="{00000000-0005-0000-0000-0000DE5F0000}"/>
    <cellStyle name="Вычисление 131" xfId="23820" xr:uid="{00000000-0005-0000-0000-0000DF5F0000}"/>
    <cellStyle name="Вычисление 132" xfId="23821" xr:uid="{00000000-0005-0000-0000-0000E05F0000}"/>
    <cellStyle name="Вычисление 133" xfId="23822" xr:uid="{00000000-0005-0000-0000-0000E15F0000}"/>
    <cellStyle name="Вычисление 134" xfId="23823" xr:uid="{00000000-0005-0000-0000-0000E25F0000}"/>
    <cellStyle name="Вычисление 135" xfId="23824" xr:uid="{00000000-0005-0000-0000-0000E35F0000}"/>
    <cellStyle name="Вычисление 136" xfId="23825" xr:uid="{00000000-0005-0000-0000-0000E45F0000}"/>
    <cellStyle name="Вычисление 137" xfId="23826" xr:uid="{00000000-0005-0000-0000-0000E55F0000}"/>
    <cellStyle name="Вычисление 138" xfId="23827" xr:uid="{00000000-0005-0000-0000-0000E65F0000}"/>
    <cellStyle name="Вычисление 139" xfId="23828" xr:uid="{00000000-0005-0000-0000-0000E75F0000}"/>
    <cellStyle name="Вычисление 14" xfId="23829" xr:uid="{00000000-0005-0000-0000-0000E85F0000}"/>
    <cellStyle name="Вычисление 14 2" xfId="23830" xr:uid="{00000000-0005-0000-0000-0000E95F0000}"/>
    <cellStyle name="Вычисление 14 3" xfId="23831" xr:uid="{00000000-0005-0000-0000-0000EA5F0000}"/>
    <cellStyle name="Вычисление 14 4" xfId="23832" xr:uid="{00000000-0005-0000-0000-0000EB5F0000}"/>
    <cellStyle name="Вычисление 14 5" xfId="23833" xr:uid="{00000000-0005-0000-0000-0000EC5F0000}"/>
    <cellStyle name="Вычисление 14 6" xfId="23834" xr:uid="{00000000-0005-0000-0000-0000ED5F0000}"/>
    <cellStyle name="Вычисление 140" xfId="23835" xr:uid="{00000000-0005-0000-0000-0000EE5F0000}"/>
    <cellStyle name="Вычисление 141" xfId="23836" xr:uid="{00000000-0005-0000-0000-0000EF5F0000}"/>
    <cellStyle name="Вычисление 142" xfId="23837" xr:uid="{00000000-0005-0000-0000-0000F05F0000}"/>
    <cellStyle name="Вычисление 143" xfId="23838" xr:uid="{00000000-0005-0000-0000-0000F15F0000}"/>
    <cellStyle name="Вычисление 144" xfId="23839" xr:uid="{00000000-0005-0000-0000-0000F25F0000}"/>
    <cellStyle name="Вычисление 145" xfId="23840" xr:uid="{00000000-0005-0000-0000-0000F35F0000}"/>
    <cellStyle name="Вычисление 146" xfId="23841" xr:uid="{00000000-0005-0000-0000-0000F45F0000}"/>
    <cellStyle name="Вычисление 147" xfId="23842" xr:uid="{00000000-0005-0000-0000-0000F55F0000}"/>
    <cellStyle name="Вычисление 148" xfId="23843" xr:uid="{00000000-0005-0000-0000-0000F65F0000}"/>
    <cellStyle name="Вычисление 149" xfId="23844" xr:uid="{00000000-0005-0000-0000-0000F75F0000}"/>
    <cellStyle name="Вычисление 15" xfId="23845" xr:uid="{00000000-0005-0000-0000-0000F85F0000}"/>
    <cellStyle name="Вычисление 15 2" xfId="23846" xr:uid="{00000000-0005-0000-0000-0000F95F0000}"/>
    <cellStyle name="Вычисление 15 3" xfId="23847" xr:uid="{00000000-0005-0000-0000-0000FA5F0000}"/>
    <cellStyle name="Вычисление 15 4" xfId="23848" xr:uid="{00000000-0005-0000-0000-0000FB5F0000}"/>
    <cellStyle name="Вычисление 15 5" xfId="23849" xr:uid="{00000000-0005-0000-0000-0000FC5F0000}"/>
    <cellStyle name="Вычисление 15 6" xfId="23850" xr:uid="{00000000-0005-0000-0000-0000FD5F0000}"/>
    <cellStyle name="Вычисление 150" xfId="23851" xr:uid="{00000000-0005-0000-0000-0000FE5F0000}"/>
    <cellStyle name="Вычисление 151" xfId="23852" xr:uid="{00000000-0005-0000-0000-0000FF5F0000}"/>
    <cellStyle name="Вычисление 152" xfId="23853" xr:uid="{00000000-0005-0000-0000-000000600000}"/>
    <cellStyle name="Вычисление 153" xfId="23854" xr:uid="{00000000-0005-0000-0000-000001600000}"/>
    <cellStyle name="Вычисление 154" xfId="23855" xr:uid="{00000000-0005-0000-0000-000002600000}"/>
    <cellStyle name="Вычисление 155" xfId="23856" xr:uid="{00000000-0005-0000-0000-000003600000}"/>
    <cellStyle name="Вычисление 156" xfId="23857" xr:uid="{00000000-0005-0000-0000-000004600000}"/>
    <cellStyle name="Вычисление 157" xfId="23858" xr:uid="{00000000-0005-0000-0000-000005600000}"/>
    <cellStyle name="Вычисление 158" xfId="23859" xr:uid="{00000000-0005-0000-0000-000006600000}"/>
    <cellStyle name="Вычисление 159" xfId="23860" xr:uid="{00000000-0005-0000-0000-000007600000}"/>
    <cellStyle name="Вычисление 16" xfId="23861" xr:uid="{00000000-0005-0000-0000-000008600000}"/>
    <cellStyle name="Вычисление 16 2" xfId="23862" xr:uid="{00000000-0005-0000-0000-000009600000}"/>
    <cellStyle name="Вычисление 16 3" xfId="23863" xr:uid="{00000000-0005-0000-0000-00000A600000}"/>
    <cellStyle name="Вычисление 16 4" xfId="23864" xr:uid="{00000000-0005-0000-0000-00000B600000}"/>
    <cellStyle name="Вычисление 16 5" xfId="23865" xr:uid="{00000000-0005-0000-0000-00000C600000}"/>
    <cellStyle name="Вычисление 16 6" xfId="23866" xr:uid="{00000000-0005-0000-0000-00000D600000}"/>
    <cellStyle name="Вычисление 160" xfId="23867" xr:uid="{00000000-0005-0000-0000-00000E600000}"/>
    <cellStyle name="Вычисление 161" xfId="23868" xr:uid="{00000000-0005-0000-0000-00000F600000}"/>
    <cellStyle name="Вычисление 162" xfId="23869" xr:uid="{00000000-0005-0000-0000-000010600000}"/>
    <cellStyle name="Вычисление 163" xfId="23870" xr:uid="{00000000-0005-0000-0000-000011600000}"/>
    <cellStyle name="Вычисление 164" xfId="23871" xr:uid="{00000000-0005-0000-0000-000012600000}"/>
    <cellStyle name="Вычисление 165" xfId="23872" xr:uid="{00000000-0005-0000-0000-000013600000}"/>
    <cellStyle name="Вычисление 166" xfId="23873" xr:uid="{00000000-0005-0000-0000-000014600000}"/>
    <cellStyle name="Вычисление 167" xfId="23874" xr:uid="{00000000-0005-0000-0000-000015600000}"/>
    <cellStyle name="Вычисление 168" xfId="23875" xr:uid="{00000000-0005-0000-0000-000016600000}"/>
    <cellStyle name="Вычисление 169" xfId="23876" xr:uid="{00000000-0005-0000-0000-000017600000}"/>
    <cellStyle name="Вычисление 17" xfId="23877" xr:uid="{00000000-0005-0000-0000-000018600000}"/>
    <cellStyle name="Вычисление 17 2" xfId="23878" xr:uid="{00000000-0005-0000-0000-000019600000}"/>
    <cellStyle name="Вычисление 17 3" xfId="23879" xr:uid="{00000000-0005-0000-0000-00001A600000}"/>
    <cellStyle name="Вычисление 17 4" xfId="23880" xr:uid="{00000000-0005-0000-0000-00001B600000}"/>
    <cellStyle name="Вычисление 17 5" xfId="23881" xr:uid="{00000000-0005-0000-0000-00001C600000}"/>
    <cellStyle name="Вычисление 17 6" xfId="23882" xr:uid="{00000000-0005-0000-0000-00001D600000}"/>
    <cellStyle name="Вычисление 170" xfId="23883" xr:uid="{00000000-0005-0000-0000-00001E600000}"/>
    <cellStyle name="Вычисление 171" xfId="23884" xr:uid="{00000000-0005-0000-0000-00001F600000}"/>
    <cellStyle name="Вычисление 172" xfId="23885" xr:uid="{00000000-0005-0000-0000-000020600000}"/>
    <cellStyle name="Вычисление 173" xfId="27898" xr:uid="{00000000-0005-0000-0000-000021600000}"/>
    <cellStyle name="Вычисление 174" xfId="23763" xr:uid="{00000000-0005-0000-0000-000022600000}"/>
    <cellStyle name="Вычисление 175" xfId="27966" xr:uid="{00000000-0005-0000-0000-000023600000}"/>
    <cellStyle name="Вычисление 18" xfId="23886" xr:uid="{00000000-0005-0000-0000-000024600000}"/>
    <cellStyle name="Вычисление 18 2" xfId="23887" xr:uid="{00000000-0005-0000-0000-000025600000}"/>
    <cellStyle name="Вычисление 18 3" xfId="23888" xr:uid="{00000000-0005-0000-0000-000026600000}"/>
    <cellStyle name="Вычисление 18 4" xfId="23889" xr:uid="{00000000-0005-0000-0000-000027600000}"/>
    <cellStyle name="Вычисление 18 5" xfId="23890" xr:uid="{00000000-0005-0000-0000-000028600000}"/>
    <cellStyle name="Вычисление 18 6" xfId="23891" xr:uid="{00000000-0005-0000-0000-000029600000}"/>
    <cellStyle name="Вычисление 19" xfId="23892" xr:uid="{00000000-0005-0000-0000-00002A600000}"/>
    <cellStyle name="Вычисление 19 2" xfId="23893" xr:uid="{00000000-0005-0000-0000-00002B600000}"/>
    <cellStyle name="Вычисление 19 3" xfId="23894" xr:uid="{00000000-0005-0000-0000-00002C600000}"/>
    <cellStyle name="Вычисление 19 4" xfId="23895" xr:uid="{00000000-0005-0000-0000-00002D600000}"/>
    <cellStyle name="Вычисление 19 5" xfId="23896" xr:uid="{00000000-0005-0000-0000-00002E600000}"/>
    <cellStyle name="Вычисление 19 6" xfId="23897" xr:uid="{00000000-0005-0000-0000-00002F600000}"/>
    <cellStyle name="Вычисление 2" xfId="23898" xr:uid="{00000000-0005-0000-0000-000030600000}"/>
    <cellStyle name="Вычисление 2 2" xfId="23899" xr:uid="{00000000-0005-0000-0000-000031600000}"/>
    <cellStyle name="Вычисление 2 2 2" xfId="23900" xr:uid="{00000000-0005-0000-0000-000032600000}"/>
    <cellStyle name="Вычисление 2 2 3" xfId="23901" xr:uid="{00000000-0005-0000-0000-000033600000}"/>
    <cellStyle name="Вычисление 2 2 4" xfId="23902" xr:uid="{00000000-0005-0000-0000-000034600000}"/>
    <cellStyle name="Вычисление 2 2 5" xfId="23903" xr:uid="{00000000-0005-0000-0000-000035600000}"/>
    <cellStyle name="Вычисление 2 2 6" xfId="23904" xr:uid="{00000000-0005-0000-0000-000036600000}"/>
    <cellStyle name="Вычисление 2 3" xfId="23905" xr:uid="{00000000-0005-0000-0000-000037600000}"/>
    <cellStyle name="Вычисление 2 4" xfId="23906" xr:uid="{00000000-0005-0000-0000-000038600000}"/>
    <cellStyle name="Вычисление 2 5" xfId="23907" xr:uid="{00000000-0005-0000-0000-000039600000}"/>
    <cellStyle name="Вычисление 2 6" xfId="23908" xr:uid="{00000000-0005-0000-0000-00003A600000}"/>
    <cellStyle name="Вычисление 2 7" xfId="23909" xr:uid="{00000000-0005-0000-0000-00003B600000}"/>
    <cellStyle name="Вычисление 2 8" xfId="27997" xr:uid="{00000000-0005-0000-0000-00003C600000}"/>
    <cellStyle name="Вычисление 2 9" xfId="28136" xr:uid="{00000000-0005-0000-0000-00003D600000}"/>
    <cellStyle name="Вычисление 20" xfId="23910" xr:uid="{00000000-0005-0000-0000-00003E600000}"/>
    <cellStyle name="Вычисление 20 2" xfId="23911" xr:uid="{00000000-0005-0000-0000-00003F600000}"/>
    <cellStyle name="Вычисление 21" xfId="23912" xr:uid="{00000000-0005-0000-0000-000040600000}"/>
    <cellStyle name="Вычисление 21 2" xfId="23913" xr:uid="{00000000-0005-0000-0000-000041600000}"/>
    <cellStyle name="Вычисление 22" xfId="23914" xr:uid="{00000000-0005-0000-0000-000042600000}"/>
    <cellStyle name="Вычисление 22 2" xfId="23915" xr:uid="{00000000-0005-0000-0000-000043600000}"/>
    <cellStyle name="Вычисление 23" xfId="23916" xr:uid="{00000000-0005-0000-0000-000044600000}"/>
    <cellStyle name="Вычисление 23 2" xfId="23917" xr:uid="{00000000-0005-0000-0000-000045600000}"/>
    <cellStyle name="Вычисление 24" xfId="23918" xr:uid="{00000000-0005-0000-0000-000046600000}"/>
    <cellStyle name="Вычисление 24 2" xfId="23919" xr:uid="{00000000-0005-0000-0000-000047600000}"/>
    <cellStyle name="Вычисление 25" xfId="23920" xr:uid="{00000000-0005-0000-0000-000048600000}"/>
    <cellStyle name="Вычисление 25 2" xfId="23921" xr:uid="{00000000-0005-0000-0000-000049600000}"/>
    <cellStyle name="Вычисление 26" xfId="23922" xr:uid="{00000000-0005-0000-0000-00004A600000}"/>
    <cellStyle name="Вычисление 26 2" xfId="23923" xr:uid="{00000000-0005-0000-0000-00004B600000}"/>
    <cellStyle name="Вычисление 27" xfId="23924" xr:uid="{00000000-0005-0000-0000-00004C600000}"/>
    <cellStyle name="Вычисление 27 2" xfId="23925" xr:uid="{00000000-0005-0000-0000-00004D600000}"/>
    <cellStyle name="Вычисление 28" xfId="23926" xr:uid="{00000000-0005-0000-0000-00004E600000}"/>
    <cellStyle name="Вычисление 28 2" xfId="23927" xr:uid="{00000000-0005-0000-0000-00004F600000}"/>
    <cellStyle name="Вычисление 29" xfId="23928" xr:uid="{00000000-0005-0000-0000-000050600000}"/>
    <cellStyle name="Вычисление 29 2" xfId="23929" xr:uid="{00000000-0005-0000-0000-000051600000}"/>
    <cellStyle name="Вычисление 3" xfId="23930" xr:uid="{00000000-0005-0000-0000-000052600000}"/>
    <cellStyle name="Вычисление 3 2" xfId="23931" xr:uid="{00000000-0005-0000-0000-000053600000}"/>
    <cellStyle name="Вычисление 3 2 2" xfId="23932" xr:uid="{00000000-0005-0000-0000-000054600000}"/>
    <cellStyle name="Вычисление 3 2 3" xfId="23933" xr:uid="{00000000-0005-0000-0000-000055600000}"/>
    <cellStyle name="Вычисление 3 2 4" xfId="23934" xr:uid="{00000000-0005-0000-0000-000056600000}"/>
    <cellStyle name="Вычисление 3 2 5" xfId="23935" xr:uid="{00000000-0005-0000-0000-000057600000}"/>
    <cellStyle name="Вычисление 3 2 6" xfId="23936" xr:uid="{00000000-0005-0000-0000-000058600000}"/>
    <cellStyle name="Вычисление 3 3" xfId="23937" xr:uid="{00000000-0005-0000-0000-000059600000}"/>
    <cellStyle name="Вычисление 3 4" xfId="23938" xr:uid="{00000000-0005-0000-0000-00005A600000}"/>
    <cellStyle name="Вычисление 3 5" xfId="23939" xr:uid="{00000000-0005-0000-0000-00005B600000}"/>
    <cellStyle name="Вычисление 3 6" xfId="23940" xr:uid="{00000000-0005-0000-0000-00005C600000}"/>
    <cellStyle name="Вычисление 3 7" xfId="23941" xr:uid="{00000000-0005-0000-0000-00005D600000}"/>
    <cellStyle name="Вычисление 30" xfId="23942" xr:uid="{00000000-0005-0000-0000-00005E600000}"/>
    <cellStyle name="Вычисление 30 2" xfId="23943" xr:uid="{00000000-0005-0000-0000-00005F600000}"/>
    <cellStyle name="Вычисление 31" xfId="23944" xr:uid="{00000000-0005-0000-0000-000060600000}"/>
    <cellStyle name="Вычисление 31 2" xfId="23945" xr:uid="{00000000-0005-0000-0000-000061600000}"/>
    <cellStyle name="Вычисление 32" xfId="23946" xr:uid="{00000000-0005-0000-0000-000062600000}"/>
    <cellStyle name="Вычисление 32 2" xfId="27178" xr:uid="{00000000-0005-0000-0000-000063600000}"/>
    <cellStyle name="Вычисление 33" xfId="23947" xr:uid="{00000000-0005-0000-0000-000064600000}"/>
    <cellStyle name="Вычисление 33 2" xfId="27204" xr:uid="{00000000-0005-0000-0000-000065600000}"/>
    <cellStyle name="Вычисление 34" xfId="23948" xr:uid="{00000000-0005-0000-0000-000066600000}"/>
    <cellStyle name="Вычисление 34 2" xfId="27220" xr:uid="{00000000-0005-0000-0000-000067600000}"/>
    <cellStyle name="Вычисление 35" xfId="23949" xr:uid="{00000000-0005-0000-0000-000068600000}"/>
    <cellStyle name="Вычисление 35 2" xfId="27243" xr:uid="{00000000-0005-0000-0000-000069600000}"/>
    <cellStyle name="Вычисление 36" xfId="23950" xr:uid="{00000000-0005-0000-0000-00006A600000}"/>
    <cellStyle name="Вычисление 36 2" xfId="27280" xr:uid="{00000000-0005-0000-0000-00006B600000}"/>
    <cellStyle name="Вычисление 37" xfId="23951" xr:uid="{00000000-0005-0000-0000-00006C600000}"/>
    <cellStyle name="Вычисление 37 2" xfId="27310" xr:uid="{00000000-0005-0000-0000-00006D600000}"/>
    <cellStyle name="Вычисление 38" xfId="23952" xr:uid="{00000000-0005-0000-0000-00006E600000}"/>
    <cellStyle name="Вычисление 38 2" xfId="27267" xr:uid="{00000000-0005-0000-0000-00006F600000}"/>
    <cellStyle name="Вычисление 39" xfId="23953" xr:uid="{00000000-0005-0000-0000-000070600000}"/>
    <cellStyle name="Вычисление 39 2" xfId="27322" xr:uid="{00000000-0005-0000-0000-000071600000}"/>
    <cellStyle name="Вычисление 4" xfId="23954" xr:uid="{00000000-0005-0000-0000-000072600000}"/>
    <cellStyle name="Вычисление 4 2" xfId="23955" xr:uid="{00000000-0005-0000-0000-000073600000}"/>
    <cellStyle name="Вычисление 4 3" xfId="23956" xr:uid="{00000000-0005-0000-0000-000074600000}"/>
    <cellStyle name="Вычисление 4 4" xfId="23957" xr:uid="{00000000-0005-0000-0000-000075600000}"/>
    <cellStyle name="Вычисление 4 5" xfId="23958" xr:uid="{00000000-0005-0000-0000-000076600000}"/>
    <cellStyle name="Вычисление 4 6" xfId="23959" xr:uid="{00000000-0005-0000-0000-000077600000}"/>
    <cellStyle name="Вычисление 40" xfId="23960" xr:uid="{00000000-0005-0000-0000-000078600000}"/>
    <cellStyle name="Вычисление 40 2" xfId="27372" xr:uid="{00000000-0005-0000-0000-000079600000}"/>
    <cellStyle name="Вычисление 41" xfId="23961" xr:uid="{00000000-0005-0000-0000-00007A600000}"/>
    <cellStyle name="Вычисление 41 2" xfId="27387" xr:uid="{00000000-0005-0000-0000-00007B600000}"/>
    <cellStyle name="Вычисление 42" xfId="23962" xr:uid="{00000000-0005-0000-0000-00007C600000}"/>
    <cellStyle name="Вычисление 42 2" xfId="27408" xr:uid="{00000000-0005-0000-0000-00007D600000}"/>
    <cellStyle name="Вычисление 43" xfId="23963" xr:uid="{00000000-0005-0000-0000-00007E600000}"/>
    <cellStyle name="Вычисление 43 2" xfId="27400" xr:uid="{00000000-0005-0000-0000-00007F600000}"/>
    <cellStyle name="Вычисление 44" xfId="23964" xr:uid="{00000000-0005-0000-0000-000080600000}"/>
    <cellStyle name="Вычисление 44 2" xfId="27440" xr:uid="{00000000-0005-0000-0000-000081600000}"/>
    <cellStyle name="Вычисление 45" xfId="23965" xr:uid="{00000000-0005-0000-0000-000082600000}"/>
    <cellStyle name="Вычисление 45 2" xfId="27475" xr:uid="{00000000-0005-0000-0000-000083600000}"/>
    <cellStyle name="Вычисление 46" xfId="23966" xr:uid="{00000000-0005-0000-0000-000084600000}"/>
    <cellStyle name="Вычисление 46 2" xfId="27500" xr:uid="{00000000-0005-0000-0000-000085600000}"/>
    <cellStyle name="Вычисление 47" xfId="23967" xr:uid="{00000000-0005-0000-0000-000086600000}"/>
    <cellStyle name="Вычисление 47 2" xfId="27459" xr:uid="{00000000-0005-0000-0000-000087600000}"/>
    <cellStyle name="Вычисление 48" xfId="23968" xr:uid="{00000000-0005-0000-0000-000088600000}"/>
    <cellStyle name="Вычисление 48 2" xfId="27513" xr:uid="{00000000-0005-0000-0000-000089600000}"/>
    <cellStyle name="Вычисление 49" xfId="23969" xr:uid="{00000000-0005-0000-0000-00008A600000}"/>
    <cellStyle name="Вычисление 49 2" xfId="27562" xr:uid="{00000000-0005-0000-0000-00008B600000}"/>
    <cellStyle name="Вычисление 5" xfId="23970" xr:uid="{00000000-0005-0000-0000-00008C600000}"/>
    <cellStyle name="Вычисление 5 2" xfId="23971" xr:uid="{00000000-0005-0000-0000-00008D600000}"/>
    <cellStyle name="Вычисление 5 3" xfId="23972" xr:uid="{00000000-0005-0000-0000-00008E600000}"/>
    <cellStyle name="Вычисление 5 4" xfId="23973" xr:uid="{00000000-0005-0000-0000-00008F600000}"/>
    <cellStyle name="Вычисление 5 5" xfId="23974" xr:uid="{00000000-0005-0000-0000-000090600000}"/>
    <cellStyle name="Вычисление 5 6" xfId="23975" xr:uid="{00000000-0005-0000-0000-000091600000}"/>
    <cellStyle name="Вычисление 50" xfId="23976" xr:uid="{00000000-0005-0000-0000-000092600000}"/>
    <cellStyle name="Вычисление 50 2" xfId="27586" xr:uid="{00000000-0005-0000-0000-000093600000}"/>
    <cellStyle name="Вычисление 51" xfId="23977" xr:uid="{00000000-0005-0000-0000-000094600000}"/>
    <cellStyle name="Вычисление 51 2" xfId="27544" xr:uid="{00000000-0005-0000-0000-000095600000}"/>
    <cellStyle name="Вычисление 52" xfId="23978" xr:uid="{00000000-0005-0000-0000-000096600000}"/>
    <cellStyle name="Вычисление 52 2" xfId="27603" xr:uid="{00000000-0005-0000-0000-000097600000}"/>
    <cellStyle name="Вычисление 53" xfId="23979" xr:uid="{00000000-0005-0000-0000-000098600000}"/>
    <cellStyle name="Вычисление 53 2" xfId="27598" xr:uid="{00000000-0005-0000-0000-000099600000}"/>
    <cellStyle name="Вычисление 54" xfId="23980" xr:uid="{00000000-0005-0000-0000-00009A600000}"/>
    <cellStyle name="Вычисление 54 2" xfId="27674" xr:uid="{00000000-0005-0000-0000-00009B600000}"/>
    <cellStyle name="Вычисление 55" xfId="23981" xr:uid="{00000000-0005-0000-0000-00009C600000}"/>
    <cellStyle name="Вычисление 55 2" xfId="27703" xr:uid="{00000000-0005-0000-0000-00009D600000}"/>
    <cellStyle name="Вычисление 56" xfId="23982" xr:uid="{00000000-0005-0000-0000-00009E600000}"/>
    <cellStyle name="Вычисление 56 2" xfId="27658" xr:uid="{00000000-0005-0000-0000-00009F600000}"/>
    <cellStyle name="Вычисление 57" xfId="23983" xr:uid="{00000000-0005-0000-0000-0000A0600000}"/>
    <cellStyle name="Вычисление 57 2" xfId="27716" xr:uid="{00000000-0005-0000-0000-0000A1600000}"/>
    <cellStyle name="Вычисление 58" xfId="23984" xr:uid="{00000000-0005-0000-0000-0000A2600000}"/>
    <cellStyle name="Вычисление 58 2" xfId="27730" xr:uid="{00000000-0005-0000-0000-0000A3600000}"/>
    <cellStyle name="Вычисление 59" xfId="23985" xr:uid="{00000000-0005-0000-0000-0000A4600000}"/>
    <cellStyle name="Вычисление 59 2" xfId="27761" xr:uid="{00000000-0005-0000-0000-0000A5600000}"/>
    <cellStyle name="Вычисление 6" xfId="23986" xr:uid="{00000000-0005-0000-0000-0000A6600000}"/>
    <cellStyle name="Вычисление 6 2" xfId="23987" xr:uid="{00000000-0005-0000-0000-0000A7600000}"/>
    <cellStyle name="Вычисление 6 3" xfId="23988" xr:uid="{00000000-0005-0000-0000-0000A8600000}"/>
    <cellStyle name="Вычисление 6 4" xfId="23989" xr:uid="{00000000-0005-0000-0000-0000A9600000}"/>
    <cellStyle name="Вычисление 6 5" xfId="23990" xr:uid="{00000000-0005-0000-0000-0000AA600000}"/>
    <cellStyle name="Вычисление 6 6" xfId="23991" xr:uid="{00000000-0005-0000-0000-0000AB600000}"/>
    <cellStyle name="Вычисление 60" xfId="23992" xr:uid="{00000000-0005-0000-0000-0000AC600000}"/>
    <cellStyle name="Вычисление 61" xfId="23993" xr:uid="{00000000-0005-0000-0000-0000AD600000}"/>
    <cellStyle name="Вычисление 62" xfId="23994" xr:uid="{00000000-0005-0000-0000-0000AE600000}"/>
    <cellStyle name="Вычисление 63" xfId="23995" xr:uid="{00000000-0005-0000-0000-0000AF600000}"/>
    <cellStyle name="Вычисление 64" xfId="23996" xr:uid="{00000000-0005-0000-0000-0000B0600000}"/>
    <cellStyle name="Вычисление 65" xfId="23997" xr:uid="{00000000-0005-0000-0000-0000B1600000}"/>
    <cellStyle name="Вычисление 66" xfId="23998" xr:uid="{00000000-0005-0000-0000-0000B2600000}"/>
    <cellStyle name="Вычисление 67" xfId="23999" xr:uid="{00000000-0005-0000-0000-0000B3600000}"/>
    <cellStyle name="Вычисление 68" xfId="24000" xr:uid="{00000000-0005-0000-0000-0000B4600000}"/>
    <cellStyle name="Вычисление 69" xfId="24001" xr:uid="{00000000-0005-0000-0000-0000B5600000}"/>
    <cellStyle name="Вычисление 7" xfId="24002" xr:uid="{00000000-0005-0000-0000-0000B6600000}"/>
    <cellStyle name="Вычисление 7 2" xfId="24003" xr:uid="{00000000-0005-0000-0000-0000B7600000}"/>
    <cellStyle name="Вычисление 7 3" xfId="24004" xr:uid="{00000000-0005-0000-0000-0000B8600000}"/>
    <cellStyle name="Вычисление 7 4" xfId="24005" xr:uid="{00000000-0005-0000-0000-0000B9600000}"/>
    <cellStyle name="Вычисление 7 5" xfId="24006" xr:uid="{00000000-0005-0000-0000-0000BA600000}"/>
    <cellStyle name="Вычисление 7 6" xfId="24007" xr:uid="{00000000-0005-0000-0000-0000BB600000}"/>
    <cellStyle name="Вычисление 70" xfId="24008" xr:uid="{00000000-0005-0000-0000-0000BC600000}"/>
    <cellStyle name="Вычисление 71" xfId="24009" xr:uid="{00000000-0005-0000-0000-0000BD600000}"/>
    <cellStyle name="Вычисление 72" xfId="24010" xr:uid="{00000000-0005-0000-0000-0000BE600000}"/>
    <cellStyle name="Вычисление 73" xfId="24011" xr:uid="{00000000-0005-0000-0000-0000BF600000}"/>
    <cellStyle name="Вычисление 74" xfId="24012" xr:uid="{00000000-0005-0000-0000-0000C0600000}"/>
    <cellStyle name="Вычисление 75" xfId="24013" xr:uid="{00000000-0005-0000-0000-0000C1600000}"/>
    <cellStyle name="Вычисление 76" xfId="24014" xr:uid="{00000000-0005-0000-0000-0000C2600000}"/>
    <cellStyle name="Вычисление 77" xfId="24015" xr:uid="{00000000-0005-0000-0000-0000C3600000}"/>
    <cellStyle name="Вычисление 78" xfId="24016" xr:uid="{00000000-0005-0000-0000-0000C4600000}"/>
    <cellStyle name="Вычисление 79" xfId="24017" xr:uid="{00000000-0005-0000-0000-0000C5600000}"/>
    <cellStyle name="Вычисление 8" xfId="24018" xr:uid="{00000000-0005-0000-0000-0000C6600000}"/>
    <cellStyle name="Вычисление 8 2" xfId="24019" xr:uid="{00000000-0005-0000-0000-0000C7600000}"/>
    <cellStyle name="Вычисление 8 3" xfId="24020" xr:uid="{00000000-0005-0000-0000-0000C8600000}"/>
    <cellStyle name="Вычисление 8 4" xfId="24021" xr:uid="{00000000-0005-0000-0000-0000C9600000}"/>
    <cellStyle name="Вычисление 8 5" xfId="24022" xr:uid="{00000000-0005-0000-0000-0000CA600000}"/>
    <cellStyle name="Вычисление 8 6" xfId="24023" xr:uid="{00000000-0005-0000-0000-0000CB600000}"/>
    <cellStyle name="Вычисление 80" xfId="24024" xr:uid="{00000000-0005-0000-0000-0000CC600000}"/>
    <cellStyle name="Вычисление 81" xfId="24025" xr:uid="{00000000-0005-0000-0000-0000CD600000}"/>
    <cellStyle name="Вычисление 82" xfId="24026" xr:uid="{00000000-0005-0000-0000-0000CE600000}"/>
    <cellStyle name="Вычисление 83" xfId="24027" xr:uid="{00000000-0005-0000-0000-0000CF600000}"/>
    <cellStyle name="Вычисление 84" xfId="24028" xr:uid="{00000000-0005-0000-0000-0000D0600000}"/>
    <cellStyle name="Вычисление 85" xfId="24029" xr:uid="{00000000-0005-0000-0000-0000D1600000}"/>
    <cellStyle name="Вычисление 86" xfId="24030" xr:uid="{00000000-0005-0000-0000-0000D2600000}"/>
    <cellStyle name="Вычисление 87" xfId="24031" xr:uid="{00000000-0005-0000-0000-0000D3600000}"/>
    <cellStyle name="Вычисление 88" xfId="24032" xr:uid="{00000000-0005-0000-0000-0000D4600000}"/>
    <cellStyle name="Вычисление 89" xfId="24033" xr:uid="{00000000-0005-0000-0000-0000D5600000}"/>
    <cellStyle name="Вычисление 9" xfId="24034" xr:uid="{00000000-0005-0000-0000-0000D6600000}"/>
    <cellStyle name="Вычисление 9 2" xfId="24035" xr:uid="{00000000-0005-0000-0000-0000D7600000}"/>
    <cellStyle name="Вычисление 9 3" xfId="24036" xr:uid="{00000000-0005-0000-0000-0000D8600000}"/>
    <cellStyle name="Вычисление 9 4" xfId="24037" xr:uid="{00000000-0005-0000-0000-0000D9600000}"/>
    <cellStyle name="Вычисление 9 5" xfId="24038" xr:uid="{00000000-0005-0000-0000-0000DA600000}"/>
    <cellStyle name="Вычисление 9 6" xfId="24039" xr:uid="{00000000-0005-0000-0000-0000DB600000}"/>
    <cellStyle name="Вычисление 90" xfId="24040" xr:uid="{00000000-0005-0000-0000-0000DC600000}"/>
    <cellStyle name="Вычисление 91" xfId="24041" xr:uid="{00000000-0005-0000-0000-0000DD600000}"/>
    <cellStyle name="Вычисление 92" xfId="24042" xr:uid="{00000000-0005-0000-0000-0000DE600000}"/>
    <cellStyle name="Вычисление 93" xfId="24043" xr:uid="{00000000-0005-0000-0000-0000DF600000}"/>
    <cellStyle name="Вычисление 94" xfId="24044" xr:uid="{00000000-0005-0000-0000-0000E0600000}"/>
    <cellStyle name="Вычисление 95" xfId="24045" xr:uid="{00000000-0005-0000-0000-0000E1600000}"/>
    <cellStyle name="Вычисление 96" xfId="24046" xr:uid="{00000000-0005-0000-0000-0000E2600000}"/>
    <cellStyle name="Вычисление 97" xfId="24047" xr:uid="{00000000-0005-0000-0000-0000E3600000}"/>
    <cellStyle name="Вычисление 98" xfId="24048" xr:uid="{00000000-0005-0000-0000-0000E4600000}"/>
    <cellStyle name="Вычисление 99" xfId="24049" xr:uid="{00000000-0005-0000-0000-0000E5600000}"/>
    <cellStyle name="Гиперссылка" xfId="1" builtinId="8"/>
    <cellStyle name="Гиперссылка 2" xfId="28127" xr:uid="{00000000-0005-0000-0000-0000E6600000}"/>
    <cellStyle name="Гиперссылка 3" xfId="24050" xr:uid="{00000000-0005-0000-0000-0000E7600000}"/>
    <cellStyle name="Денежный [0] 10" xfId="24051" xr:uid="{00000000-0005-0000-0000-0000E8600000}"/>
    <cellStyle name="Денежный [0] 10 2" xfId="28243" xr:uid="{00000000-0005-0000-0000-0000E9600000}"/>
    <cellStyle name="Денежный [0] 12" xfId="24052" xr:uid="{00000000-0005-0000-0000-0000EA600000}"/>
    <cellStyle name="Денежный [0] 12 2" xfId="28244" xr:uid="{00000000-0005-0000-0000-0000EB600000}"/>
    <cellStyle name="Денежный [0] 14" xfId="24053" xr:uid="{00000000-0005-0000-0000-0000EC600000}"/>
    <cellStyle name="Денежный [0] 14 2" xfId="28245" xr:uid="{00000000-0005-0000-0000-0000ED600000}"/>
    <cellStyle name="Денежный [0] 18" xfId="24054" xr:uid="{00000000-0005-0000-0000-0000EE600000}"/>
    <cellStyle name="Денежный [0] 18 2" xfId="28246" xr:uid="{00000000-0005-0000-0000-0000EF600000}"/>
    <cellStyle name="Денежный [0] 20" xfId="24055" xr:uid="{00000000-0005-0000-0000-0000F0600000}"/>
    <cellStyle name="Денежный [0] 20 2" xfId="28247" xr:uid="{00000000-0005-0000-0000-0000F1600000}"/>
    <cellStyle name="Денежный [0] 22" xfId="24056" xr:uid="{00000000-0005-0000-0000-0000F2600000}"/>
    <cellStyle name="Денежный [0] 22 2" xfId="28248" xr:uid="{00000000-0005-0000-0000-0000F3600000}"/>
    <cellStyle name="Денежный [0] 24" xfId="24057" xr:uid="{00000000-0005-0000-0000-0000F4600000}"/>
    <cellStyle name="Денежный [0] 24 2" xfId="28249" xr:uid="{00000000-0005-0000-0000-0000F5600000}"/>
    <cellStyle name="Денежный [0] 26" xfId="24058" xr:uid="{00000000-0005-0000-0000-0000F6600000}"/>
    <cellStyle name="Денежный [0] 26 2" xfId="28250" xr:uid="{00000000-0005-0000-0000-0000F7600000}"/>
    <cellStyle name="Денежный [0] 28" xfId="24059" xr:uid="{00000000-0005-0000-0000-0000F8600000}"/>
    <cellStyle name="Денежный [0] 28 2" xfId="28251" xr:uid="{00000000-0005-0000-0000-0000F9600000}"/>
    <cellStyle name="Денежный [0] 3" xfId="24060" xr:uid="{00000000-0005-0000-0000-0000FA600000}"/>
    <cellStyle name="Денежный [0] 3 2" xfId="28252" xr:uid="{00000000-0005-0000-0000-0000FB600000}"/>
    <cellStyle name="Денежный [0] 4" xfId="24061" xr:uid="{00000000-0005-0000-0000-0000FC600000}"/>
    <cellStyle name="Денежный [0] 4 2" xfId="28253" xr:uid="{00000000-0005-0000-0000-0000FD600000}"/>
    <cellStyle name="Денежный [0] 5" xfId="24062" xr:uid="{00000000-0005-0000-0000-0000FE600000}"/>
    <cellStyle name="Денежный [0] 5 2" xfId="28254" xr:uid="{00000000-0005-0000-0000-0000FF600000}"/>
    <cellStyle name="Денежный [0] 6" xfId="24063" xr:uid="{00000000-0005-0000-0000-000000610000}"/>
    <cellStyle name="Денежный [0] 6 2" xfId="28255" xr:uid="{00000000-0005-0000-0000-000001610000}"/>
    <cellStyle name="Денежный [0] 8" xfId="24064" xr:uid="{00000000-0005-0000-0000-000002610000}"/>
    <cellStyle name="Денежный [0] 8 2" xfId="28256" xr:uid="{00000000-0005-0000-0000-000003610000}"/>
    <cellStyle name="Денежный 10" xfId="24065" xr:uid="{00000000-0005-0000-0000-000004610000}"/>
    <cellStyle name="Денежный 10 2" xfId="28257" xr:uid="{00000000-0005-0000-0000-000005610000}"/>
    <cellStyle name="Денежный 2" xfId="24066" xr:uid="{00000000-0005-0000-0000-000006610000}"/>
    <cellStyle name="Денежный 2 2" xfId="28258" xr:uid="{00000000-0005-0000-0000-000007610000}"/>
    <cellStyle name="Денежный 54" xfId="24067" xr:uid="{00000000-0005-0000-0000-000008610000}"/>
    <cellStyle name="Денежный 54 2" xfId="28259" xr:uid="{00000000-0005-0000-0000-000009610000}"/>
    <cellStyle name="-ЁюЎхэЄэ_щ" xfId="24068" xr:uid="{00000000-0005-0000-0000-00000A610000}"/>
    <cellStyle name="Заголовок 1 10" xfId="24070" xr:uid="{00000000-0005-0000-0000-00000B610000}"/>
    <cellStyle name="Заголовок 1 10 2" xfId="26839" xr:uid="{00000000-0005-0000-0000-00000C610000}"/>
    <cellStyle name="Заголовок 1 100" xfId="24071" xr:uid="{00000000-0005-0000-0000-00000D610000}"/>
    <cellStyle name="Заголовок 1 101" xfId="24072" xr:uid="{00000000-0005-0000-0000-00000E610000}"/>
    <cellStyle name="Заголовок 1 102" xfId="24073" xr:uid="{00000000-0005-0000-0000-00000F610000}"/>
    <cellStyle name="Заголовок 1 103" xfId="24074" xr:uid="{00000000-0005-0000-0000-000010610000}"/>
    <cellStyle name="Заголовок 1 104" xfId="24075" xr:uid="{00000000-0005-0000-0000-000011610000}"/>
    <cellStyle name="Заголовок 1 105" xfId="24076" xr:uid="{00000000-0005-0000-0000-000012610000}"/>
    <cellStyle name="Заголовок 1 106" xfId="24077" xr:uid="{00000000-0005-0000-0000-000013610000}"/>
    <cellStyle name="Заголовок 1 107" xfId="24078" xr:uid="{00000000-0005-0000-0000-000014610000}"/>
    <cellStyle name="Заголовок 1 108" xfId="24079" xr:uid="{00000000-0005-0000-0000-000015610000}"/>
    <cellStyle name="Заголовок 1 109" xfId="24080" xr:uid="{00000000-0005-0000-0000-000016610000}"/>
    <cellStyle name="Заголовок 1 11" xfId="24081" xr:uid="{00000000-0005-0000-0000-000017610000}"/>
    <cellStyle name="Заголовок 1 11 2" xfId="26831" xr:uid="{00000000-0005-0000-0000-000018610000}"/>
    <cellStyle name="Заголовок 1 110" xfId="24082" xr:uid="{00000000-0005-0000-0000-000019610000}"/>
    <cellStyle name="Заголовок 1 111" xfId="24083" xr:uid="{00000000-0005-0000-0000-00001A610000}"/>
    <cellStyle name="Заголовок 1 112" xfId="24084" xr:uid="{00000000-0005-0000-0000-00001B610000}"/>
    <cellStyle name="Заголовок 1 113" xfId="24085" xr:uid="{00000000-0005-0000-0000-00001C610000}"/>
    <cellStyle name="Заголовок 1 114" xfId="24086" xr:uid="{00000000-0005-0000-0000-00001D610000}"/>
    <cellStyle name="Заголовок 1 115" xfId="24087" xr:uid="{00000000-0005-0000-0000-00001E610000}"/>
    <cellStyle name="Заголовок 1 116" xfId="24088" xr:uid="{00000000-0005-0000-0000-00001F610000}"/>
    <cellStyle name="Заголовок 1 117" xfId="24089" xr:uid="{00000000-0005-0000-0000-000020610000}"/>
    <cellStyle name="Заголовок 1 118" xfId="24090" xr:uid="{00000000-0005-0000-0000-000021610000}"/>
    <cellStyle name="Заголовок 1 119" xfId="24091" xr:uid="{00000000-0005-0000-0000-000022610000}"/>
    <cellStyle name="Заголовок 1 12" xfId="24092" xr:uid="{00000000-0005-0000-0000-000023610000}"/>
    <cellStyle name="Заголовок 1 12 2" xfId="26867" xr:uid="{00000000-0005-0000-0000-000024610000}"/>
    <cellStyle name="Заголовок 1 120" xfId="24093" xr:uid="{00000000-0005-0000-0000-000025610000}"/>
    <cellStyle name="Заголовок 1 121" xfId="24094" xr:uid="{00000000-0005-0000-0000-000026610000}"/>
    <cellStyle name="Заголовок 1 122" xfId="24095" xr:uid="{00000000-0005-0000-0000-000027610000}"/>
    <cellStyle name="Заголовок 1 123" xfId="24096" xr:uid="{00000000-0005-0000-0000-000028610000}"/>
    <cellStyle name="Заголовок 1 124" xfId="24097" xr:uid="{00000000-0005-0000-0000-000029610000}"/>
    <cellStyle name="Заголовок 1 125" xfId="24098" xr:uid="{00000000-0005-0000-0000-00002A610000}"/>
    <cellStyle name="Заголовок 1 126" xfId="24099" xr:uid="{00000000-0005-0000-0000-00002B610000}"/>
    <cellStyle name="Заголовок 1 127" xfId="24100" xr:uid="{00000000-0005-0000-0000-00002C610000}"/>
    <cellStyle name="Заголовок 1 128" xfId="24101" xr:uid="{00000000-0005-0000-0000-00002D610000}"/>
    <cellStyle name="Заголовок 1 129" xfId="24102" xr:uid="{00000000-0005-0000-0000-00002E610000}"/>
    <cellStyle name="Заголовок 1 13" xfId="24103" xr:uid="{00000000-0005-0000-0000-00002F610000}"/>
    <cellStyle name="Заголовок 1 13 2" xfId="26878" xr:uid="{00000000-0005-0000-0000-000030610000}"/>
    <cellStyle name="Заголовок 1 130" xfId="24104" xr:uid="{00000000-0005-0000-0000-000031610000}"/>
    <cellStyle name="Заголовок 1 131" xfId="24105" xr:uid="{00000000-0005-0000-0000-000032610000}"/>
    <cellStyle name="Заголовок 1 132" xfId="24106" xr:uid="{00000000-0005-0000-0000-000033610000}"/>
    <cellStyle name="Заголовок 1 133" xfId="24107" xr:uid="{00000000-0005-0000-0000-000034610000}"/>
    <cellStyle name="Заголовок 1 134" xfId="24108" xr:uid="{00000000-0005-0000-0000-000035610000}"/>
    <cellStyle name="Заголовок 1 135" xfId="24109" xr:uid="{00000000-0005-0000-0000-000036610000}"/>
    <cellStyle name="Заголовок 1 136" xfId="24110" xr:uid="{00000000-0005-0000-0000-000037610000}"/>
    <cellStyle name="Заголовок 1 137" xfId="24111" xr:uid="{00000000-0005-0000-0000-000038610000}"/>
    <cellStyle name="Заголовок 1 138" xfId="24112" xr:uid="{00000000-0005-0000-0000-000039610000}"/>
    <cellStyle name="Заголовок 1 139" xfId="24113" xr:uid="{00000000-0005-0000-0000-00003A610000}"/>
    <cellStyle name="Заголовок 1 14" xfId="24114" xr:uid="{00000000-0005-0000-0000-00003B610000}"/>
    <cellStyle name="Заголовок 1 14 2" xfId="26856" xr:uid="{00000000-0005-0000-0000-00003C610000}"/>
    <cellStyle name="Заголовок 1 140" xfId="24115" xr:uid="{00000000-0005-0000-0000-00003D610000}"/>
    <cellStyle name="Заголовок 1 141" xfId="24116" xr:uid="{00000000-0005-0000-0000-00003E610000}"/>
    <cellStyle name="Заголовок 1 142" xfId="24117" xr:uid="{00000000-0005-0000-0000-00003F610000}"/>
    <cellStyle name="Заголовок 1 143" xfId="24118" xr:uid="{00000000-0005-0000-0000-000040610000}"/>
    <cellStyle name="Заголовок 1 144" xfId="24119" xr:uid="{00000000-0005-0000-0000-000041610000}"/>
    <cellStyle name="Заголовок 1 145" xfId="24120" xr:uid="{00000000-0005-0000-0000-000042610000}"/>
    <cellStyle name="Заголовок 1 146" xfId="24121" xr:uid="{00000000-0005-0000-0000-000043610000}"/>
    <cellStyle name="Заголовок 1 147" xfId="24122" xr:uid="{00000000-0005-0000-0000-000044610000}"/>
    <cellStyle name="Заголовок 1 148" xfId="24123" xr:uid="{00000000-0005-0000-0000-000045610000}"/>
    <cellStyle name="Заголовок 1 149" xfId="24124" xr:uid="{00000000-0005-0000-0000-000046610000}"/>
    <cellStyle name="Заголовок 1 15" xfId="24125" xr:uid="{00000000-0005-0000-0000-000047610000}"/>
    <cellStyle name="Заголовок 1 15 2" xfId="26915" xr:uid="{00000000-0005-0000-0000-000048610000}"/>
    <cellStyle name="Заголовок 1 150" xfId="24126" xr:uid="{00000000-0005-0000-0000-000049610000}"/>
    <cellStyle name="Заголовок 1 151" xfId="24127" xr:uid="{00000000-0005-0000-0000-00004A610000}"/>
    <cellStyle name="Заголовок 1 152" xfId="24128" xr:uid="{00000000-0005-0000-0000-00004B610000}"/>
    <cellStyle name="Заголовок 1 153" xfId="24129" xr:uid="{00000000-0005-0000-0000-00004C610000}"/>
    <cellStyle name="Заголовок 1 154" xfId="24130" xr:uid="{00000000-0005-0000-0000-00004D610000}"/>
    <cellStyle name="Заголовок 1 155" xfId="24131" xr:uid="{00000000-0005-0000-0000-00004E610000}"/>
    <cellStyle name="Заголовок 1 156" xfId="24132" xr:uid="{00000000-0005-0000-0000-00004F610000}"/>
    <cellStyle name="Заголовок 1 157" xfId="24133" xr:uid="{00000000-0005-0000-0000-000050610000}"/>
    <cellStyle name="Заголовок 1 158" xfId="24134" xr:uid="{00000000-0005-0000-0000-000051610000}"/>
    <cellStyle name="Заголовок 1 159" xfId="24135" xr:uid="{00000000-0005-0000-0000-000052610000}"/>
    <cellStyle name="Заголовок 1 16" xfId="24136" xr:uid="{00000000-0005-0000-0000-000053610000}"/>
    <cellStyle name="Заголовок 1 16 2" xfId="26926" xr:uid="{00000000-0005-0000-0000-000054610000}"/>
    <cellStyle name="Заголовок 1 160" xfId="24137" xr:uid="{00000000-0005-0000-0000-000055610000}"/>
    <cellStyle name="Заголовок 1 161" xfId="24138" xr:uid="{00000000-0005-0000-0000-000056610000}"/>
    <cellStyle name="Заголовок 1 162" xfId="24139" xr:uid="{00000000-0005-0000-0000-000057610000}"/>
    <cellStyle name="Заголовок 1 163" xfId="24140" xr:uid="{00000000-0005-0000-0000-000058610000}"/>
    <cellStyle name="Заголовок 1 164" xfId="24141" xr:uid="{00000000-0005-0000-0000-000059610000}"/>
    <cellStyle name="Заголовок 1 165" xfId="24142" xr:uid="{00000000-0005-0000-0000-00005A610000}"/>
    <cellStyle name="Заголовок 1 166" xfId="24143" xr:uid="{00000000-0005-0000-0000-00005B610000}"/>
    <cellStyle name="Заголовок 1 167" xfId="24144" xr:uid="{00000000-0005-0000-0000-00005C610000}"/>
    <cellStyle name="Заголовок 1 168" xfId="24145" xr:uid="{00000000-0005-0000-0000-00005D610000}"/>
    <cellStyle name="Заголовок 1 169" xfId="24146" xr:uid="{00000000-0005-0000-0000-00005E610000}"/>
    <cellStyle name="Заголовок 1 17" xfId="24147" xr:uid="{00000000-0005-0000-0000-00005F610000}"/>
    <cellStyle name="Заголовок 1 17 2" xfId="26905" xr:uid="{00000000-0005-0000-0000-000060610000}"/>
    <cellStyle name="Заголовок 1 170" xfId="24148" xr:uid="{00000000-0005-0000-0000-000061610000}"/>
    <cellStyle name="Заголовок 1 171" xfId="24149" xr:uid="{00000000-0005-0000-0000-000062610000}"/>
    <cellStyle name="Заголовок 1 172" xfId="24150" xr:uid="{00000000-0005-0000-0000-000063610000}"/>
    <cellStyle name="Заголовок 1 173" xfId="24069" xr:uid="{00000000-0005-0000-0000-000064610000}"/>
    <cellStyle name="Заголовок 1 18" xfId="24151" xr:uid="{00000000-0005-0000-0000-000065610000}"/>
    <cellStyle name="Заголовок 1 18 2" xfId="26968" xr:uid="{00000000-0005-0000-0000-000066610000}"/>
    <cellStyle name="Заголовок 1 19" xfId="24152" xr:uid="{00000000-0005-0000-0000-000067610000}"/>
    <cellStyle name="Заголовок 1 19 2" xfId="26979" xr:uid="{00000000-0005-0000-0000-000068610000}"/>
    <cellStyle name="Заголовок 1 2" xfId="24153" xr:uid="{00000000-0005-0000-0000-000069610000}"/>
    <cellStyle name="Заголовок 1 2 2" xfId="24154" xr:uid="{00000000-0005-0000-0000-00006A610000}"/>
    <cellStyle name="Заголовок 1 2 3" xfId="24155" xr:uid="{00000000-0005-0000-0000-00006B610000}"/>
    <cellStyle name="Заголовок 1 20" xfId="24156" xr:uid="{00000000-0005-0000-0000-00006C610000}"/>
    <cellStyle name="Заголовок 1 20 2" xfId="26957" xr:uid="{00000000-0005-0000-0000-00006D610000}"/>
    <cellStyle name="Заголовок 1 21" xfId="24157" xr:uid="{00000000-0005-0000-0000-00006E610000}"/>
    <cellStyle name="Заголовок 1 21 2" xfId="26989" xr:uid="{00000000-0005-0000-0000-00006F610000}"/>
    <cellStyle name="Заголовок 1 22" xfId="24158" xr:uid="{00000000-0005-0000-0000-000070610000}"/>
    <cellStyle name="Заголовок 1 22 2" xfId="27005" xr:uid="{00000000-0005-0000-0000-000071610000}"/>
    <cellStyle name="Заголовок 1 23" xfId="24159" xr:uid="{00000000-0005-0000-0000-000072610000}"/>
    <cellStyle name="Заголовок 1 23 2" xfId="27017" xr:uid="{00000000-0005-0000-0000-000073610000}"/>
    <cellStyle name="Заголовок 1 24" xfId="24160" xr:uid="{00000000-0005-0000-0000-000074610000}"/>
    <cellStyle name="Заголовок 1 24 2" xfId="27060" xr:uid="{00000000-0005-0000-0000-000075610000}"/>
    <cellStyle name="Заголовок 1 25" xfId="24161" xr:uid="{00000000-0005-0000-0000-000076610000}"/>
    <cellStyle name="Заголовок 1 25 2" xfId="27071" xr:uid="{00000000-0005-0000-0000-000077610000}"/>
    <cellStyle name="Заголовок 1 26" xfId="24162" xr:uid="{00000000-0005-0000-0000-000078610000}"/>
    <cellStyle name="Заголовок 1 26 2" xfId="27050" xr:uid="{00000000-0005-0000-0000-000079610000}"/>
    <cellStyle name="Заголовок 1 27" xfId="24163" xr:uid="{00000000-0005-0000-0000-00007A610000}"/>
    <cellStyle name="Заголовок 1 27 2" xfId="27081" xr:uid="{00000000-0005-0000-0000-00007B610000}"/>
    <cellStyle name="Заголовок 1 28" xfId="24164" xr:uid="{00000000-0005-0000-0000-00007C610000}"/>
    <cellStyle name="Заголовок 1 28 2" xfId="27126" xr:uid="{00000000-0005-0000-0000-00007D610000}"/>
    <cellStyle name="Заголовок 1 29" xfId="24165" xr:uid="{00000000-0005-0000-0000-00007E610000}"/>
    <cellStyle name="Заголовок 1 29 2" xfId="27137" xr:uid="{00000000-0005-0000-0000-00007F610000}"/>
    <cellStyle name="Заголовок 1 3" xfId="24166" xr:uid="{00000000-0005-0000-0000-000080610000}"/>
    <cellStyle name="Заголовок 1 3 2" xfId="24167" xr:uid="{00000000-0005-0000-0000-000081610000}"/>
    <cellStyle name="Заголовок 1 3 3" xfId="26804" xr:uid="{00000000-0005-0000-0000-000082610000}"/>
    <cellStyle name="Заголовок 1 30" xfId="24168" xr:uid="{00000000-0005-0000-0000-000083610000}"/>
    <cellStyle name="Заголовок 1 30 2" xfId="27115" xr:uid="{00000000-0005-0000-0000-000084610000}"/>
    <cellStyle name="Заголовок 1 31" xfId="24169" xr:uid="{00000000-0005-0000-0000-000085610000}"/>
    <cellStyle name="Заголовок 1 31 2" xfId="27164" xr:uid="{00000000-0005-0000-0000-000086610000}"/>
    <cellStyle name="Заголовок 1 32" xfId="24170" xr:uid="{00000000-0005-0000-0000-000087610000}"/>
    <cellStyle name="Заголовок 1 32 2" xfId="27181" xr:uid="{00000000-0005-0000-0000-000088610000}"/>
    <cellStyle name="Заголовок 1 33" xfId="24171" xr:uid="{00000000-0005-0000-0000-000089610000}"/>
    <cellStyle name="Заголовок 1 33 2" xfId="27208" xr:uid="{00000000-0005-0000-0000-00008A610000}"/>
    <cellStyle name="Заголовок 1 34" xfId="24172" xr:uid="{00000000-0005-0000-0000-00008B610000}"/>
    <cellStyle name="Заголовок 1 34 2" xfId="27223" xr:uid="{00000000-0005-0000-0000-00008C610000}"/>
    <cellStyle name="Заголовок 1 35" xfId="24173" xr:uid="{00000000-0005-0000-0000-00008D610000}"/>
    <cellStyle name="Заголовок 1 35 2" xfId="27240" xr:uid="{00000000-0005-0000-0000-00008E610000}"/>
    <cellStyle name="Заголовок 1 36" xfId="24174" xr:uid="{00000000-0005-0000-0000-00008F610000}"/>
    <cellStyle name="Заголовок 1 36 2" xfId="27286" xr:uid="{00000000-0005-0000-0000-000090610000}"/>
    <cellStyle name="Заголовок 1 37" xfId="24175" xr:uid="{00000000-0005-0000-0000-000091610000}"/>
    <cellStyle name="Заголовок 1 37 2" xfId="27304" xr:uid="{00000000-0005-0000-0000-000092610000}"/>
    <cellStyle name="Заголовок 1 38" xfId="24176" xr:uid="{00000000-0005-0000-0000-000093610000}"/>
    <cellStyle name="Заголовок 1 38 2" xfId="27272" xr:uid="{00000000-0005-0000-0000-000094610000}"/>
    <cellStyle name="Заголовок 1 39" xfId="24177" xr:uid="{00000000-0005-0000-0000-000095610000}"/>
    <cellStyle name="Заголовок 1 39 2" xfId="27317" xr:uid="{00000000-0005-0000-0000-000096610000}"/>
    <cellStyle name="Заголовок 1 4" xfId="24178" xr:uid="{00000000-0005-0000-0000-000097610000}"/>
    <cellStyle name="Заголовок 1 4 2" xfId="26809" xr:uid="{00000000-0005-0000-0000-000098610000}"/>
    <cellStyle name="Заголовок 1 40" xfId="24179" xr:uid="{00000000-0005-0000-0000-000099610000}"/>
    <cellStyle name="Заголовок 1 40 2" xfId="27378" xr:uid="{00000000-0005-0000-0000-00009A610000}"/>
    <cellStyle name="Заголовок 1 41" xfId="24180" xr:uid="{00000000-0005-0000-0000-00009B610000}"/>
    <cellStyle name="Заголовок 1 41 2" xfId="27368" xr:uid="{00000000-0005-0000-0000-00009C610000}"/>
    <cellStyle name="Заголовок 1 42" xfId="24181" xr:uid="{00000000-0005-0000-0000-00009D610000}"/>
    <cellStyle name="Заголовок 1 42 2" xfId="27354" xr:uid="{00000000-0005-0000-0000-00009E610000}"/>
    <cellStyle name="Заголовок 1 43" xfId="24182" xr:uid="{00000000-0005-0000-0000-00009F610000}"/>
    <cellStyle name="Заголовок 1 43 2" xfId="27395" xr:uid="{00000000-0005-0000-0000-0000A0610000}"/>
    <cellStyle name="Заголовок 1 44" xfId="24183" xr:uid="{00000000-0005-0000-0000-0000A1610000}"/>
    <cellStyle name="Заголовок 1 44 2" xfId="27426" xr:uid="{00000000-0005-0000-0000-0000A2610000}"/>
    <cellStyle name="Заголовок 1 45" xfId="24184" xr:uid="{00000000-0005-0000-0000-0000A3610000}"/>
    <cellStyle name="Заголовок 1 45 2" xfId="27481" xr:uid="{00000000-0005-0000-0000-0000A4610000}"/>
    <cellStyle name="Заголовок 1 46" xfId="24185" xr:uid="{00000000-0005-0000-0000-0000A5610000}"/>
    <cellStyle name="Заголовок 1 46 2" xfId="27494" xr:uid="{00000000-0005-0000-0000-0000A6610000}"/>
    <cellStyle name="Заголовок 1 47" xfId="24186" xr:uid="{00000000-0005-0000-0000-0000A7610000}"/>
    <cellStyle name="Заголовок 1 47 2" xfId="27467" xr:uid="{00000000-0005-0000-0000-0000A8610000}"/>
    <cellStyle name="Заголовок 1 48" xfId="24187" xr:uid="{00000000-0005-0000-0000-0000A9610000}"/>
    <cellStyle name="Заголовок 1 48 2" xfId="27508" xr:uid="{00000000-0005-0000-0000-0000AA610000}"/>
    <cellStyle name="Заголовок 1 49" xfId="24188" xr:uid="{00000000-0005-0000-0000-0000AB610000}"/>
    <cellStyle name="Заголовок 1 49 2" xfId="27568" xr:uid="{00000000-0005-0000-0000-0000AC610000}"/>
    <cellStyle name="Заголовок 1 5" xfId="24189" xr:uid="{00000000-0005-0000-0000-0000AD610000}"/>
    <cellStyle name="Заголовок 1 5 2" xfId="26811" xr:uid="{00000000-0005-0000-0000-0000AE610000}"/>
    <cellStyle name="Заголовок 1 50" xfId="24190" xr:uid="{00000000-0005-0000-0000-0000AF610000}"/>
    <cellStyle name="Заголовок 1 50 2" xfId="27580" xr:uid="{00000000-0005-0000-0000-0000B0610000}"/>
    <cellStyle name="Заголовок 1 51" xfId="24191" xr:uid="{00000000-0005-0000-0000-0000B1610000}"/>
    <cellStyle name="Заголовок 1 51 2" xfId="27552" xr:uid="{00000000-0005-0000-0000-0000B2610000}"/>
    <cellStyle name="Заголовок 1 52" xfId="24192" xr:uid="{00000000-0005-0000-0000-0000B3610000}"/>
    <cellStyle name="Заголовок 1 52 2" xfId="27594" xr:uid="{00000000-0005-0000-0000-0000B4610000}"/>
    <cellStyle name="Заголовок 1 53" xfId="24193" xr:uid="{00000000-0005-0000-0000-0000B5610000}"/>
    <cellStyle name="Заголовок 1 53 2" xfId="27624" xr:uid="{00000000-0005-0000-0000-0000B6610000}"/>
    <cellStyle name="Заголовок 1 54" xfId="24194" xr:uid="{00000000-0005-0000-0000-0000B7610000}"/>
    <cellStyle name="Заголовок 1 54 2" xfId="27680" xr:uid="{00000000-0005-0000-0000-0000B8610000}"/>
    <cellStyle name="Заголовок 1 55" xfId="24195" xr:uid="{00000000-0005-0000-0000-0000B9610000}"/>
    <cellStyle name="Заголовок 1 55 2" xfId="27697" xr:uid="{00000000-0005-0000-0000-0000BA610000}"/>
    <cellStyle name="Заголовок 1 56" xfId="24196" xr:uid="{00000000-0005-0000-0000-0000BB610000}"/>
    <cellStyle name="Заголовок 1 56 2" xfId="27666" xr:uid="{00000000-0005-0000-0000-0000BC610000}"/>
    <cellStyle name="Заголовок 1 57" xfId="24197" xr:uid="{00000000-0005-0000-0000-0000BD610000}"/>
    <cellStyle name="Заголовок 1 57 2" xfId="27711" xr:uid="{00000000-0005-0000-0000-0000BE610000}"/>
    <cellStyle name="Заголовок 1 58" xfId="24198" xr:uid="{00000000-0005-0000-0000-0000BF610000}"/>
    <cellStyle name="Заголовок 1 58 2" xfId="27725" xr:uid="{00000000-0005-0000-0000-0000C0610000}"/>
    <cellStyle name="Заголовок 1 59" xfId="24199" xr:uid="{00000000-0005-0000-0000-0000C1610000}"/>
    <cellStyle name="Заголовок 1 59 2" xfId="27764" xr:uid="{00000000-0005-0000-0000-0000C2610000}"/>
    <cellStyle name="Заголовок 1 6" xfId="24200" xr:uid="{00000000-0005-0000-0000-0000C3610000}"/>
    <cellStyle name="Заголовок 1 6 2" xfId="26818" xr:uid="{00000000-0005-0000-0000-0000C4610000}"/>
    <cellStyle name="Заголовок 1 60" xfId="24201" xr:uid="{00000000-0005-0000-0000-0000C5610000}"/>
    <cellStyle name="Заголовок 1 61" xfId="24202" xr:uid="{00000000-0005-0000-0000-0000C6610000}"/>
    <cellStyle name="Заголовок 1 62" xfId="24203" xr:uid="{00000000-0005-0000-0000-0000C7610000}"/>
    <cellStyle name="Заголовок 1 63" xfId="24204" xr:uid="{00000000-0005-0000-0000-0000C8610000}"/>
    <cellStyle name="Заголовок 1 64" xfId="24205" xr:uid="{00000000-0005-0000-0000-0000C9610000}"/>
    <cellStyle name="Заголовок 1 65" xfId="24206" xr:uid="{00000000-0005-0000-0000-0000CA610000}"/>
    <cellStyle name="Заголовок 1 66" xfId="24207" xr:uid="{00000000-0005-0000-0000-0000CB610000}"/>
    <cellStyle name="Заголовок 1 67" xfId="24208" xr:uid="{00000000-0005-0000-0000-0000CC610000}"/>
    <cellStyle name="Заголовок 1 68" xfId="24209" xr:uid="{00000000-0005-0000-0000-0000CD610000}"/>
    <cellStyle name="Заголовок 1 69" xfId="24210" xr:uid="{00000000-0005-0000-0000-0000CE610000}"/>
    <cellStyle name="Заголовок 1 7" xfId="24211" xr:uid="{00000000-0005-0000-0000-0000CF610000}"/>
    <cellStyle name="Заголовок 1 7 2" xfId="26820" xr:uid="{00000000-0005-0000-0000-0000D0610000}"/>
    <cellStyle name="Заголовок 1 70" xfId="24212" xr:uid="{00000000-0005-0000-0000-0000D1610000}"/>
    <cellStyle name="Заголовок 1 71" xfId="24213" xr:uid="{00000000-0005-0000-0000-0000D2610000}"/>
    <cellStyle name="Заголовок 1 72" xfId="24214" xr:uid="{00000000-0005-0000-0000-0000D3610000}"/>
    <cellStyle name="Заголовок 1 73" xfId="24215" xr:uid="{00000000-0005-0000-0000-0000D4610000}"/>
    <cellStyle name="Заголовок 1 74" xfId="24216" xr:uid="{00000000-0005-0000-0000-0000D5610000}"/>
    <cellStyle name="Заголовок 1 75" xfId="24217" xr:uid="{00000000-0005-0000-0000-0000D6610000}"/>
    <cellStyle name="Заголовок 1 76" xfId="24218" xr:uid="{00000000-0005-0000-0000-0000D7610000}"/>
    <cellStyle name="Заголовок 1 77" xfId="24219" xr:uid="{00000000-0005-0000-0000-0000D8610000}"/>
    <cellStyle name="Заголовок 1 78" xfId="24220" xr:uid="{00000000-0005-0000-0000-0000D9610000}"/>
    <cellStyle name="Заголовок 1 79" xfId="24221" xr:uid="{00000000-0005-0000-0000-0000DA610000}"/>
    <cellStyle name="Заголовок 1 8" xfId="24222" xr:uid="{00000000-0005-0000-0000-0000DB610000}"/>
    <cellStyle name="Заголовок 1 8 2" xfId="26813" xr:uid="{00000000-0005-0000-0000-0000DC610000}"/>
    <cellStyle name="Заголовок 1 80" xfId="24223" xr:uid="{00000000-0005-0000-0000-0000DD610000}"/>
    <cellStyle name="Заголовок 1 81" xfId="24224" xr:uid="{00000000-0005-0000-0000-0000DE610000}"/>
    <cellStyle name="Заголовок 1 82" xfId="24225" xr:uid="{00000000-0005-0000-0000-0000DF610000}"/>
    <cellStyle name="Заголовок 1 83" xfId="24226" xr:uid="{00000000-0005-0000-0000-0000E0610000}"/>
    <cellStyle name="Заголовок 1 84" xfId="24227" xr:uid="{00000000-0005-0000-0000-0000E1610000}"/>
    <cellStyle name="Заголовок 1 85" xfId="24228" xr:uid="{00000000-0005-0000-0000-0000E2610000}"/>
    <cellStyle name="Заголовок 1 86" xfId="24229" xr:uid="{00000000-0005-0000-0000-0000E3610000}"/>
    <cellStyle name="Заголовок 1 87" xfId="24230" xr:uid="{00000000-0005-0000-0000-0000E4610000}"/>
    <cellStyle name="Заголовок 1 88" xfId="24231" xr:uid="{00000000-0005-0000-0000-0000E5610000}"/>
    <cellStyle name="Заголовок 1 89" xfId="24232" xr:uid="{00000000-0005-0000-0000-0000E6610000}"/>
    <cellStyle name="Заголовок 1 9" xfId="24233" xr:uid="{00000000-0005-0000-0000-0000E7610000}"/>
    <cellStyle name="Заголовок 1 9 2" xfId="26836" xr:uid="{00000000-0005-0000-0000-0000E8610000}"/>
    <cellStyle name="Заголовок 1 90" xfId="24234" xr:uid="{00000000-0005-0000-0000-0000E9610000}"/>
    <cellStyle name="Заголовок 1 91" xfId="24235" xr:uid="{00000000-0005-0000-0000-0000EA610000}"/>
    <cellStyle name="Заголовок 1 92" xfId="24236" xr:uid="{00000000-0005-0000-0000-0000EB610000}"/>
    <cellStyle name="Заголовок 1 93" xfId="24237" xr:uid="{00000000-0005-0000-0000-0000EC610000}"/>
    <cellStyle name="Заголовок 1 94" xfId="24238" xr:uid="{00000000-0005-0000-0000-0000ED610000}"/>
    <cellStyle name="Заголовок 1 95" xfId="24239" xr:uid="{00000000-0005-0000-0000-0000EE610000}"/>
    <cellStyle name="Заголовок 1 96" xfId="24240" xr:uid="{00000000-0005-0000-0000-0000EF610000}"/>
    <cellStyle name="Заголовок 1 97" xfId="24241" xr:uid="{00000000-0005-0000-0000-0000F0610000}"/>
    <cellStyle name="Заголовок 1 98" xfId="24242" xr:uid="{00000000-0005-0000-0000-0000F1610000}"/>
    <cellStyle name="Заголовок 1 99" xfId="24243" xr:uid="{00000000-0005-0000-0000-0000F2610000}"/>
    <cellStyle name="Заголовок 2 10" xfId="24245" xr:uid="{00000000-0005-0000-0000-0000F3610000}"/>
    <cellStyle name="Заголовок 2 10 2" xfId="24246" xr:uid="{00000000-0005-0000-0000-0000F4610000}"/>
    <cellStyle name="Заголовок 2 100" xfId="24247" xr:uid="{00000000-0005-0000-0000-0000F5610000}"/>
    <cellStyle name="Заголовок 2 101" xfId="24248" xr:uid="{00000000-0005-0000-0000-0000F6610000}"/>
    <cellStyle name="Заголовок 2 102" xfId="24249" xr:uid="{00000000-0005-0000-0000-0000F7610000}"/>
    <cellStyle name="Заголовок 2 103" xfId="24250" xr:uid="{00000000-0005-0000-0000-0000F8610000}"/>
    <cellStyle name="Заголовок 2 104" xfId="24251" xr:uid="{00000000-0005-0000-0000-0000F9610000}"/>
    <cellStyle name="Заголовок 2 105" xfId="24252" xr:uid="{00000000-0005-0000-0000-0000FA610000}"/>
    <cellStyle name="Заголовок 2 106" xfId="24253" xr:uid="{00000000-0005-0000-0000-0000FB610000}"/>
    <cellStyle name="Заголовок 2 107" xfId="24254" xr:uid="{00000000-0005-0000-0000-0000FC610000}"/>
    <cellStyle name="Заголовок 2 108" xfId="24255" xr:uid="{00000000-0005-0000-0000-0000FD610000}"/>
    <cellStyle name="Заголовок 2 109" xfId="24256" xr:uid="{00000000-0005-0000-0000-0000FE610000}"/>
    <cellStyle name="Заголовок 2 11" xfId="24257" xr:uid="{00000000-0005-0000-0000-0000FF610000}"/>
    <cellStyle name="Заголовок 2 11 2" xfId="24258" xr:uid="{00000000-0005-0000-0000-000000620000}"/>
    <cellStyle name="Заголовок 2 11 3" xfId="26832" xr:uid="{00000000-0005-0000-0000-000001620000}"/>
    <cellStyle name="Заголовок 2 110" xfId="24259" xr:uid="{00000000-0005-0000-0000-000002620000}"/>
    <cellStyle name="Заголовок 2 111" xfId="24260" xr:uid="{00000000-0005-0000-0000-000003620000}"/>
    <cellStyle name="Заголовок 2 112" xfId="24261" xr:uid="{00000000-0005-0000-0000-000004620000}"/>
    <cellStyle name="Заголовок 2 113" xfId="24262" xr:uid="{00000000-0005-0000-0000-000005620000}"/>
    <cellStyle name="Заголовок 2 114" xfId="24263" xr:uid="{00000000-0005-0000-0000-000006620000}"/>
    <cellStyle name="Заголовок 2 115" xfId="24264" xr:uid="{00000000-0005-0000-0000-000007620000}"/>
    <cellStyle name="Заголовок 2 116" xfId="24265" xr:uid="{00000000-0005-0000-0000-000008620000}"/>
    <cellStyle name="Заголовок 2 117" xfId="24266" xr:uid="{00000000-0005-0000-0000-000009620000}"/>
    <cellStyle name="Заголовок 2 118" xfId="24267" xr:uid="{00000000-0005-0000-0000-00000A620000}"/>
    <cellStyle name="Заголовок 2 119" xfId="24268" xr:uid="{00000000-0005-0000-0000-00000B620000}"/>
    <cellStyle name="Заголовок 2 12" xfId="24269" xr:uid="{00000000-0005-0000-0000-00000C620000}"/>
    <cellStyle name="Заголовок 2 12 2" xfId="26868" xr:uid="{00000000-0005-0000-0000-00000D620000}"/>
    <cellStyle name="Заголовок 2 120" xfId="24270" xr:uid="{00000000-0005-0000-0000-00000E620000}"/>
    <cellStyle name="Заголовок 2 121" xfId="24271" xr:uid="{00000000-0005-0000-0000-00000F620000}"/>
    <cellStyle name="Заголовок 2 122" xfId="24272" xr:uid="{00000000-0005-0000-0000-000010620000}"/>
    <cellStyle name="Заголовок 2 123" xfId="24273" xr:uid="{00000000-0005-0000-0000-000011620000}"/>
    <cellStyle name="Заголовок 2 124" xfId="24274" xr:uid="{00000000-0005-0000-0000-000012620000}"/>
    <cellStyle name="Заголовок 2 125" xfId="24275" xr:uid="{00000000-0005-0000-0000-000013620000}"/>
    <cellStyle name="Заголовок 2 126" xfId="24276" xr:uid="{00000000-0005-0000-0000-000014620000}"/>
    <cellStyle name="Заголовок 2 127" xfId="24277" xr:uid="{00000000-0005-0000-0000-000015620000}"/>
    <cellStyle name="Заголовок 2 128" xfId="24278" xr:uid="{00000000-0005-0000-0000-000016620000}"/>
    <cellStyle name="Заголовок 2 129" xfId="24279" xr:uid="{00000000-0005-0000-0000-000017620000}"/>
    <cellStyle name="Заголовок 2 13" xfId="24280" xr:uid="{00000000-0005-0000-0000-000018620000}"/>
    <cellStyle name="Заголовок 2 13 2" xfId="26877" xr:uid="{00000000-0005-0000-0000-000019620000}"/>
    <cellStyle name="Заголовок 2 130" xfId="24281" xr:uid="{00000000-0005-0000-0000-00001A620000}"/>
    <cellStyle name="Заголовок 2 131" xfId="24282" xr:uid="{00000000-0005-0000-0000-00001B620000}"/>
    <cellStyle name="Заголовок 2 132" xfId="24283" xr:uid="{00000000-0005-0000-0000-00001C620000}"/>
    <cellStyle name="Заголовок 2 133" xfId="24284" xr:uid="{00000000-0005-0000-0000-00001D620000}"/>
    <cellStyle name="Заголовок 2 134" xfId="24285" xr:uid="{00000000-0005-0000-0000-00001E620000}"/>
    <cellStyle name="Заголовок 2 135" xfId="24286" xr:uid="{00000000-0005-0000-0000-00001F620000}"/>
    <cellStyle name="Заголовок 2 136" xfId="24287" xr:uid="{00000000-0005-0000-0000-000020620000}"/>
    <cellStyle name="Заголовок 2 137" xfId="24288" xr:uid="{00000000-0005-0000-0000-000021620000}"/>
    <cellStyle name="Заголовок 2 138" xfId="24289" xr:uid="{00000000-0005-0000-0000-000022620000}"/>
    <cellStyle name="Заголовок 2 139" xfId="24290" xr:uid="{00000000-0005-0000-0000-000023620000}"/>
    <cellStyle name="Заголовок 2 14" xfId="24291" xr:uid="{00000000-0005-0000-0000-000024620000}"/>
    <cellStyle name="Заголовок 2 14 2" xfId="26858" xr:uid="{00000000-0005-0000-0000-000025620000}"/>
    <cellStyle name="Заголовок 2 140" xfId="24292" xr:uid="{00000000-0005-0000-0000-000026620000}"/>
    <cellStyle name="Заголовок 2 141" xfId="24293" xr:uid="{00000000-0005-0000-0000-000027620000}"/>
    <cellStyle name="Заголовок 2 142" xfId="24294" xr:uid="{00000000-0005-0000-0000-000028620000}"/>
    <cellStyle name="Заголовок 2 143" xfId="24295" xr:uid="{00000000-0005-0000-0000-000029620000}"/>
    <cellStyle name="Заголовок 2 144" xfId="24296" xr:uid="{00000000-0005-0000-0000-00002A620000}"/>
    <cellStyle name="Заголовок 2 145" xfId="24297" xr:uid="{00000000-0005-0000-0000-00002B620000}"/>
    <cellStyle name="Заголовок 2 146" xfId="24298" xr:uid="{00000000-0005-0000-0000-00002C620000}"/>
    <cellStyle name="Заголовок 2 147" xfId="24299" xr:uid="{00000000-0005-0000-0000-00002D620000}"/>
    <cellStyle name="Заголовок 2 148" xfId="24300" xr:uid="{00000000-0005-0000-0000-00002E620000}"/>
    <cellStyle name="Заголовок 2 149" xfId="24301" xr:uid="{00000000-0005-0000-0000-00002F620000}"/>
    <cellStyle name="Заголовок 2 15" xfId="24302" xr:uid="{00000000-0005-0000-0000-000030620000}"/>
    <cellStyle name="Заголовок 2 15 2" xfId="26916" xr:uid="{00000000-0005-0000-0000-000031620000}"/>
    <cellStyle name="Заголовок 2 150" xfId="24303" xr:uid="{00000000-0005-0000-0000-000032620000}"/>
    <cellStyle name="Заголовок 2 151" xfId="24304" xr:uid="{00000000-0005-0000-0000-000033620000}"/>
    <cellStyle name="Заголовок 2 152" xfId="24305" xr:uid="{00000000-0005-0000-0000-000034620000}"/>
    <cellStyle name="Заголовок 2 153" xfId="24306" xr:uid="{00000000-0005-0000-0000-000035620000}"/>
    <cellStyle name="Заголовок 2 154" xfId="24307" xr:uid="{00000000-0005-0000-0000-000036620000}"/>
    <cellStyle name="Заголовок 2 155" xfId="24308" xr:uid="{00000000-0005-0000-0000-000037620000}"/>
    <cellStyle name="Заголовок 2 156" xfId="24309" xr:uid="{00000000-0005-0000-0000-000038620000}"/>
    <cellStyle name="Заголовок 2 157" xfId="24310" xr:uid="{00000000-0005-0000-0000-000039620000}"/>
    <cellStyle name="Заголовок 2 158" xfId="24311" xr:uid="{00000000-0005-0000-0000-00003A620000}"/>
    <cellStyle name="Заголовок 2 159" xfId="24312" xr:uid="{00000000-0005-0000-0000-00003B620000}"/>
    <cellStyle name="Заголовок 2 16" xfId="24313" xr:uid="{00000000-0005-0000-0000-00003C620000}"/>
    <cellStyle name="Заголовок 2 16 2" xfId="26925" xr:uid="{00000000-0005-0000-0000-00003D620000}"/>
    <cellStyle name="Заголовок 2 160" xfId="24314" xr:uid="{00000000-0005-0000-0000-00003E620000}"/>
    <cellStyle name="Заголовок 2 161" xfId="24315" xr:uid="{00000000-0005-0000-0000-00003F620000}"/>
    <cellStyle name="Заголовок 2 162" xfId="24316" xr:uid="{00000000-0005-0000-0000-000040620000}"/>
    <cellStyle name="Заголовок 2 163" xfId="24317" xr:uid="{00000000-0005-0000-0000-000041620000}"/>
    <cellStyle name="Заголовок 2 164" xfId="24318" xr:uid="{00000000-0005-0000-0000-000042620000}"/>
    <cellStyle name="Заголовок 2 165" xfId="24319" xr:uid="{00000000-0005-0000-0000-000043620000}"/>
    <cellStyle name="Заголовок 2 166" xfId="24320" xr:uid="{00000000-0005-0000-0000-000044620000}"/>
    <cellStyle name="Заголовок 2 167" xfId="24321" xr:uid="{00000000-0005-0000-0000-000045620000}"/>
    <cellStyle name="Заголовок 2 168" xfId="24322" xr:uid="{00000000-0005-0000-0000-000046620000}"/>
    <cellStyle name="Заголовок 2 169" xfId="24323" xr:uid="{00000000-0005-0000-0000-000047620000}"/>
    <cellStyle name="Заголовок 2 17" xfId="24324" xr:uid="{00000000-0005-0000-0000-000048620000}"/>
    <cellStyle name="Заголовок 2 17 2" xfId="26906" xr:uid="{00000000-0005-0000-0000-000049620000}"/>
    <cellStyle name="Заголовок 2 170" xfId="24325" xr:uid="{00000000-0005-0000-0000-00004A620000}"/>
    <cellStyle name="Заголовок 2 171" xfId="24326" xr:uid="{00000000-0005-0000-0000-00004B620000}"/>
    <cellStyle name="Заголовок 2 172" xfId="24327" xr:uid="{00000000-0005-0000-0000-00004C620000}"/>
    <cellStyle name="Заголовок 2 173" xfId="24244" xr:uid="{00000000-0005-0000-0000-00004D620000}"/>
    <cellStyle name="Заголовок 2 18" xfId="24328" xr:uid="{00000000-0005-0000-0000-00004E620000}"/>
    <cellStyle name="Заголовок 2 18 2" xfId="26969" xr:uid="{00000000-0005-0000-0000-00004F620000}"/>
    <cellStyle name="Заголовок 2 19" xfId="24329" xr:uid="{00000000-0005-0000-0000-000050620000}"/>
    <cellStyle name="Заголовок 2 19 2" xfId="26978" xr:uid="{00000000-0005-0000-0000-000051620000}"/>
    <cellStyle name="Заголовок 2 2" xfId="24330" xr:uid="{00000000-0005-0000-0000-000052620000}"/>
    <cellStyle name="Заголовок 2 2 2" xfId="24331" xr:uid="{00000000-0005-0000-0000-000053620000}"/>
    <cellStyle name="Заголовок 2 2 3" xfId="24332" xr:uid="{00000000-0005-0000-0000-000054620000}"/>
    <cellStyle name="Заголовок 2 2 4" xfId="28129" xr:uid="{00000000-0005-0000-0000-000055620000}"/>
    <cellStyle name="Заголовок 2 20" xfId="24333" xr:uid="{00000000-0005-0000-0000-000056620000}"/>
    <cellStyle name="Заголовок 2 20 2" xfId="26958" xr:uid="{00000000-0005-0000-0000-000057620000}"/>
    <cellStyle name="Заголовок 2 21" xfId="24334" xr:uid="{00000000-0005-0000-0000-000058620000}"/>
    <cellStyle name="Заголовок 2 21 2" xfId="26988" xr:uid="{00000000-0005-0000-0000-000059620000}"/>
    <cellStyle name="Заголовок 2 22" xfId="24335" xr:uid="{00000000-0005-0000-0000-00005A620000}"/>
    <cellStyle name="Заголовок 2 22 2" xfId="27004" xr:uid="{00000000-0005-0000-0000-00005B620000}"/>
    <cellStyle name="Заголовок 2 23" xfId="24336" xr:uid="{00000000-0005-0000-0000-00005C620000}"/>
    <cellStyle name="Заголовок 2 23 2" xfId="27016" xr:uid="{00000000-0005-0000-0000-00005D620000}"/>
    <cellStyle name="Заголовок 2 24" xfId="24337" xr:uid="{00000000-0005-0000-0000-00005E620000}"/>
    <cellStyle name="Заголовок 2 24 2" xfId="27061" xr:uid="{00000000-0005-0000-0000-00005F620000}"/>
    <cellStyle name="Заголовок 2 25" xfId="24338" xr:uid="{00000000-0005-0000-0000-000060620000}"/>
    <cellStyle name="Заголовок 2 25 2" xfId="27070" xr:uid="{00000000-0005-0000-0000-000061620000}"/>
    <cellStyle name="Заголовок 2 26" xfId="24339" xr:uid="{00000000-0005-0000-0000-000062620000}"/>
    <cellStyle name="Заголовок 2 26 2" xfId="27051" xr:uid="{00000000-0005-0000-0000-000063620000}"/>
    <cellStyle name="Заголовок 2 27" xfId="24340" xr:uid="{00000000-0005-0000-0000-000064620000}"/>
    <cellStyle name="Заголовок 2 27 2" xfId="27080" xr:uid="{00000000-0005-0000-0000-000065620000}"/>
    <cellStyle name="Заголовок 2 28" xfId="24341" xr:uid="{00000000-0005-0000-0000-000066620000}"/>
    <cellStyle name="Заголовок 2 28 2" xfId="27127" xr:uid="{00000000-0005-0000-0000-000067620000}"/>
    <cellStyle name="Заголовок 2 29" xfId="24342" xr:uid="{00000000-0005-0000-0000-000068620000}"/>
    <cellStyle name="Заголовок 2 29 2" xfId="27136" xr:uid="{00000000-0005-0000-0000-000069620000}"/>
    <cellStyle name="Заголовок 2 3" xfId="24343" xr:uid="{00000000-0005-0000-0000-00006A620000}"/>
    <cellStyle name="Заголовок 2 3 2" xfId="24344" xr:uid="{00000000-0005-0000-0000-00006B620000}"/>
    <cellStyle name="Заголовок 2 3 3" xfId="24345" xr:uid="{00000000-0005-0000-0000-00006C620000}"/>
    <cellStyle name="Заголовок 2 30" xfId="24346" xr:uid="{00000000-0005-0000-0000-00006D620000}"/>
    <cellStyle name="Заголовок 2 30 2" xfId="27116" xr:uid="{00000000-0005-0000-0000-00006E620000}"/>
    <cellStyle name="Заголовок 2 31" xfId="24347" xr:uid="{00000000-0005-0000-0000-00006F620000}"/>
    <cellStyle name="Заголовок 2 31 2" xfId="27165" xr:uid="{00000000-0005-0000-0000-000070620000}"/>
    <cellStyle name="Заголовок 2 32" xfId="24348" xr:uid="{00000000-0005-0000-0000-000071620000}"/>
    <cellStyle name="Заголовок 2 32 2" xfId="27182" xr:uid="{00000000-0005-0000-0000-000072620000}"/>
    <cellStyle name="Заголовок 2 33" xfId="24349" xr:uid="{00000000-0005-0000-0000-000073620000}"/>
    <cellStyle name="Заголовок 2 33 2" xfId="27209" xr:uid="{00000000-0005-0000-0000-000074620000}"/>
    <cellStyle name="Заголовок 2 34" xfId="24350" xr:uid="{00000000-0005-0000-0000-000075620000}"/>
    <cellStyle name="Заголовок 2 34 2" xfId="27224" xr:uid="{00000000-0005-0000-0000-000076620000}"/>
    <cellStyle name="Заголовок 2 35" xfId="24351" xr:uid="{00000000-0005-0000-0000-000077620000}"/>
    <cellStyle name="Заголовок 2 35 2" xfId="27239" xr:uid="{00000000-0005-0000-0000-000078620000}"/>
    <cellStyle name="Заголовок 2 36" xfId="24352" xr:uid="{00000000-0005-0000-0000-000079620000}"/>
    <cellStyle name="Заголовок 2 36 2" xfId="27287" xr:uid="{00000000-0005-0000-0000-00007A620000}"/>
    <cellStyle name="Заголовок 2 37" xfId="24353" xr:uid="{00000000-0005-0000-0000-00007B620000}"/>
    <cellStyle name="Заголовок 2 37 2" xfId="27303" xr:uid="{00000000-0005-0000-0000-00007C620000}"/>
    <cellStyle name="Заголовок 2 38" xfId="24354" xr:uid="{00000000-0005-0000-0000-00007D620000}"/>
    <cellStyle name="Заголовок 2 38 2" xfId="27273" xr:uid="{00000000-0005-0000-0000-00007E620000}"/>
    <cellStyle name="Заголовок 2 39" xfId="24355" xr:uid="{00000000-0005-0000-0000-00007F620000}"/>
    <cellStyle name="Заголовок 2 39 2" xfId="27316" xr:uid="{00000000-0005-0000-0000-000080620000}"/>
    <cellStyle name="Заголовок 2 4" xfId="24356" xr:uid="{00000000-0005-0000-0000-000081620000}"/>
    <cellStyle name="Заголовок 2 4 2" xfId="24357" xr:uid="{00000000-0005-0000-0000-000082620000}"/>
    <cellStyle name="Заголовок 2 40" xfId="24358" xr:uid="{00000000-0005-0000-0000-000083620000}"/>
    <cellStyle name="Заголовок 2 40 2" xfId="27379" xr:uid="{00000000-0005-0000-0000-000084620000}"/>
    <cellStyle name="Заголовок 2 41" xfId="24359" xr:uid="{00000000-0005-0000-0000-000085620000}"/>
    <cellStyle name="Заголовок 2 41 2" xfId="27366" xr:uid="{00000000-0005-0000-0000-000086620000}"/>
    <cellStyle name="Заголовок 2 42" xfId="24360" xr:uid="{00000000-0005-0000-0000-000087620000}"/>
    <cellStyle name="Заголовок 2 42 2" xfId="27356" xr:uid="{00000000-0005-0000-0000-000088620000}"/>
    <cellStyle name="Заголовок 2 43" xfId="24361" xr:uid="{00000000-0005-0000-0000-000089620000}"/>
    <cellStyle name="Заголовок 2 43 2" xfId="27394" xr:uid="{00000000-0005-0000-0000-00008A620000}"/>
    <cellStyle name="Заголовок 2 44" xfId="24362" xr:uid="{00000000-0005-0000-0000-00008B620000}"/>
    <cellStyle name="Заголовок 2 44 2" xfId="27425" xr:uid="{00000000-0005-0000-0000-00008C620000}"/>
    <cellStyle name="Заголовок 2 45" xfId="24363" xr:uid="{00000000-0005-0000-0000-00008D620000}"/>
    <cellStyle name="Заголовок 2 45 2" xfId="27482" xr:uid="{00000000-0005-0000-0000-00008E620000}"/>
    <cellStyle name="Заголовок 2 46" xfId="24364" xr:uid="{00000000-0005-0000-0000-00008F620000}"/>
    <cellStyle name="Заголовок 2 46 2" xfId="27493" xr:uid="{00000000-0005-0000-0000-000090620000}"/>
    <cellStyle name="Заголовок 2 47" xfId="24365" xr:uid="{00000000-0005-0000-0000-000091620000}"/>
    <cellStyle name="Заголовок 2 47 2" xfId="27468" xr:uid="{00000000-0005-0000-0000-000092620000}"/>
    <cellStyle name="Заголовок 2 48" xfId="24366" xr:uid="{00000000-0005-0000-0000-000093620000}"/>
    <cellStyle name="Заголовок 2 48 2" xfId="27507" xr:uid="{00000000-0005-0000-0000-000094620000}"/>
    <cellStyle name="Заголовок 2 49" xfId="24367" xr:uid="{00000000-0005-0000-0000-000095620000}"/>
    <cellStyle name="Заголовок 2 49 2" xfId="27569" xr:uid="{00000000-0005-0000-0000-000096620000}"/>
    <cellStyle name="Заголовок 2 5" xfId="24368" xr:uid="{00000000-0005-0000-0000-000097620000}"/>
    <cellStyle name="Заголовок 2 5 2" xfId="24369" xr:uid="{00000000-0005-0000-0000-000098620000}"/>
    <cellStyle name="Заголовок 2 50" xfId="24370" xr:uid="{00000000-0005-0000-0000-000099620000}"/>
    <cellStyle name="Заголовок 2 50 2" xfId="27579" xr:uid="{00000000-0005-0000-0000-00009A620000}"/>
    <cellStyle name="Заголовок 2 51" xfId="24371" xr:uid="{00000000-0005-0000-0000-00009B620000}"/>
    <cellStyle name="Заголовок 2 51 2" xfId="27554" xr:uid="{00000000-0005-0000-0000-00009C620000}"/>
    <cellStyle name="Заголовок 2 52" xfId="24372" xr:uid="{00000000-0005-0000-0000-00009D620000}"/>
    <cellStyle name="Заголовок 2 52 2" xfId="27593" xr:uid="{00000000-0005-0000-0000-00009E620000}"/>
    <cellStyle name="Заголовок 2 53" xfId="24373" xr:uid="{00000000-0005-0000-0000-00009F620000}"/>
    <cellStyle name="Заголовок 2 53 2" xfId="27625" xr:uid="{00000000-0005-0000-0000-0000A0620000}"/>
    <cellStyle name="Заголовок 2 54" xfId="24374" xr:uid="{00000000-0005-0000-0000-0000A1620000}"/>
    <cellStyle name="Заголовок 2 54 2" xfId="27681" xr:uid="{00000000-0005-0000-0000-0000A2620000}"/>
    <cellStyle name="Заголовок 2 55" xfId="24375" xr:uid="{00000000-0005-0000-0000-0000A3620000}"/>
    <cellStyle name="Заголовок 2 55 2" xfId="27696" xr:uid="{00000000-0005-0000-0000-0000A4620000}"/>
    <cellStyle name="Заголовок 2 56" xfId="24376" xr:uid="{00000000-0005-0000-0000-0000A5620000}"/>
    <cellStyle name="Заголовок 2 56 2" xfId="27667" xr:uid="{00000000-0005-0000-0000-0000A6620000}"/>
    <cellStyle name="Заголовок 2 57" xfId="24377" xr:uid="{00000000-0005-0000-0000-0000A7620000}"/>
    <cellStyle name="Заголовок 2 57 2" xfId="27710" xr:uid="{00000000-0005-0000-0000-0000A8620000}"/>
    <cellStyle name="Заголовок 2 58" xfId="24378" xr:uid="{00000000-0005-0000-0000-0000A9620000}"/>
    <cellStyle name="Заголовок 2 58 2" xfId="27724" xr:uid="{00000000-0005-0000-0000-0000AA620000}"/>
    <cellStyle name="Заголовок 2 59" xfId="24379" xr:uid="{00000000-0005-0000-0000-0000AB620000}"/>
    <cellStyle name="Заголовок 2 59 2" xfId="27765" xr:uid="{00000000-0005-0000-0000-0000AC620000}"/>
    <cellStyle name="Заголовок 2 6" xfId="24380" xr:uid="{00000000-0005-0000-0000-0000AD620000}"/>
    <cellStyle name="Заголовок 2 6 2" xfId="24381" xr:uid="{00000000-0005-0000-0000-0000AE620000}"/>
    <cellStyle name="Заголовок 2 60" xfId="24382" xr:uid="{00000000-0005-0000-0000-0000AF620000}"/>
    <cellStyle name="Заголовок 2 61" xfId="24383" xr:uid="{00000000-0005-0000-0000-0000B0620000}"/>
    <cellStyle name="Заголовок 2 62" xfId="24384" xr:uid="{00000000-0005-0000-0000-0000B1620000}"/>
    <cellStyle name="Заголовок 2 63" xfId="24385" xr:uid="{00000000-0005-0000-0000-0000B2620000}"/>
    <cellStyle name="Заголовок 2 64" xfId="24386" xr:uid="{00000000-0005-0000-0000-0000B3620000}"/>
    <cellStyle name="Заголовок 2 65" xfId="24387" xr:uid="{00000000-0005-0000-0000-0000B4620000}"/>
    <cellStyle name="Заголовок 2 66" xfId="24388" xr:uid="{00000000-0005-0000-0000-0000B5620000}"/>
    <cellStyle name="Заголовок 2 67" xfId="24389" xr:uid="{00000000-0005-0000-0000-0000B6620000}"/>
    <cellStyle name="Заголовок 2 68" xfId="24390" xr:uid="{00000000-0005-0000-0000-0000B7620000}"/>
    <cellStyle name="Заголовок 2 69" xfId="24391" xr:uid="{00000000-0005-0000-0000-0000B8620000}"/>
    <cellStyle name="Заголовок 2 7" xfId="24392" xr:uid="{00000000-0005-0000-0000-0000B9620000}"/>
    <cellStyle name="Заголовок 2 7 2" xfId="24393" xr:uid="{00000000-0005-0000-0000-0000BA620000}"/>
    <cellStyle name="Заголовок 2 70" xfId="24394" xr:uid="{00000000-0005-0000-0000-0000BB620000}"/>
    <cellStyle name="Заголовок 2 71" xfId="24395" xr:uid="{00000000-0005-0000-0000-0000BC620000}"/>
    <cellStyle name="Заголовок 2 72" xfId="24396" xr:uid="{00000000-0005-0000-0000-0000BD620000}"/>
    <cellStyle name="Заголовок 2 73" xfId="24397" xr:uid="{00000000-0005-0000-0000-0000BE620000}"/>
    <cellStyle name="Заголовок 2 74" xfId="24398" xr:uid="{00000000-0005-0000-0000-0000BF620000}"/>
    <cellStyle name="Заголовок 2 75" xfId="24399" xr:uid="{00000000-0005-0000-0000-0000C0620000}"/>
    <cellStyle name="Заголовок 2 76" xfId="24400" xr:uid="{00000000-0005-0000-0000-0000C1620000}"/>
    <cellStyle name="Заголовок 2 77" xfId="24401" xr:uid="{00000000-0005-0000-0000-0000C2620000}"/>
    <cellStyle name="Заголовок 2 78" xfId="24402" xr:uid="{00000000-0005-0000-0000-0000C3620000}"/>
    <cellStyle name="Заголовок 2 79" xfId="24403" xr:uid="{00000000-0005-0000-0000-0000C4620000}"/>
    <cellStyle name="Заголовок 2 8" xfId="24404" xr:uid="{00000000-0005-0000-0000-0000C5620000}"/>
    <cellStyle name="Заголовок 2 8 2" xfId="24405" xr:uid="{00000000-0005-0000-0000-0000C6620000}"/>
    <cellStyle name="Заголовок 2 80" xfId="24406" xr:uid="{00000000-0005-0000-0000-0000C7620000}"/>
    <cellStyle name="Заголовок 2 81" xfId="24407" xr:uid="{00000000-0005-0000-0000-0000C8620000}"/>
    <cellStyle name="Заголовок 2 82" xfId="24408" xr:uid="{00000000-0005-0000-0000-0000C9620000}"/>
    <cellStyle name="Заголовок 2 83" xfId="24409" xr:uid="{00000000-0005-0000-0000-0000CA620000}"/>
    <cellStyle name="Заголовок 2 84" xfId="24410" xr:uid="{00000000-0005-0000-0000-0000CB620000}"/>
    <cellStyle name="Заголовок 2 85" xfId="24411" xr:uid="{00000000-0005-0000-0000-0000CC620000}"/>
    <cellStyle name="Заголовок 2 86" xfId="24412" xr:uid="{00000000-0005-0000-0000-0000CD620000}"/>
    <cellStyle name="Заголовок 2 87" xfId="24413" xr:uid="{00000000-0005-0000-0000-0000CE620000}"/>
    <cellStyle name="Заголовок 2 88" xfId="24414" xr:uid="{00000000-0005-0000-0000-0000CF620000}"/>
    <cellStyle name="Заголовок 2 89" xfId="24415" xr:uid="{00000000-0005-0000-0000-0000D0620000}"/>
    <cellStyle name="Заголовок 2 9" xfId="24416" xr:uid="{00000000-0005-0000-0000-0000D1620000}"/>
    <cellStyle name="Заголовок 2 9 2" xfId="24417" xr:uid="{00000000-0005-0000-0000-0000D2620000}"/>
    <cellStyle name="Заголовок 2 90" xfId="24418" xr:uid="{00000000-0005-0000-0000-0000D3620000}"/>
    <cellStyle name="Заголовок 2 91" xfId="24419" xr:uid="{00000000-0005-0000-0000-0000D4620000}"/>
    <cellStyle name="Заголовок 2 92" xfId="24420" xr:uid="{00000000-0005-0000-0000-0000D5620000}"/>
    <cellStyle name="Заголовок 2 93" xfId="24421" xr:uid="{00000000-0005-0000-0000-0000D6620000}"/>
    <cellStyle name="Заголовок 2 94" xfId="24422" xr:uid="{00000000-0005-0000-0000-0000D7620000}"/>
    <cellStyle name="Заголовок 2 95" xfId="24423" xr:uid="{00000000-0005-0000-0000-0000D8620000}"/>
    <cellStyle name="Заголовок 2 96" xfId="24424" xr:uid="{00000000-0005-0000-0000-0000D9620000}"/>
    <cellStyle name="Заголовок 2 97" xfId="24425" xr:uid="{00000000-0005-0000-0000-0000DA620000}"/>
    <cellStyle name="Заголовок 2 98" xfId="24426" xr:uid="{00000000-0005-0000-0000-0000DB620000}"/>
    <cellStyle name="Заголовок 2 99" xfId="24427" xr:uid="{00000000-0005-0000-0000-0000DC620000}"/>
    <cellStyle name="Заголовок 3 10" xfId="24428" xr:uid="{00000000-0005-0000-0000-0000DD620000}"/>
    <cellStyle name="Заголовок 3 10 2" xfId="24429" xr:uid="{00000000-0005-0000-0000-0000DE620000}"/>
    <cellStyle name="Заголовок 3 100" xfId="24430" xr:uid="{00000000-0005-0000-0000-0000DF620000}"/>
    <cellStyle name="Заголовок 3 101" xfId="24431" xr:uid="{00000000-0005-0000-0000-0000E0620000}"/>
    <cellStyle name="Заголовок 3 102" xfId="24432" xr:uid="{00000000-0005-0000-0000-0000E1620000}"/>
    <cellStyle name="Заголовок 3 103" xfId="24433" xr:uid="{00000000-0005-0000-0000-0000E2620000}"/>
    <cellStyle name="Заголовок 3 104" xfId="24434" xr:uid="{00000000-0005-0000-0000-0000E3620000}"/>
    <cellStyle name="Заголовок 3 105" xfId="24435" xr:uid="{00000000-0005-0000-0000-0000E4620000}"/>
    <cellStyle name="Заголовок 3 106" xfId="24436" xr:uid="{00000000-0005-0000-0000-0000E5620000}"/>
    <cellStyle name="Заголовок 3 107" xfId="24437" xr:uid="{00000000-0005-0000-0000-0000E6620000}"/>
    <cellStyle name="Заголовок 3 108" xfId="24438" xr:uid="{00000000-0005-0000-0000-0000E7620000}"/>
    <cellStyle name="Заголовок 3 109" xfId="24439" xr:uid="{00000000-0005-0000-0000-0000E8620000}"/>
    <cellStyle name="Заголовок 3 11" xfId="24440" xr:uid="{00000000-0005-0000-0000-0000E9620000}"/>
    <cellStyle name="Заголовок 3 11 2" xfId="24441" xr:uid="{00000000-0005-0000-0000-0000EA620000}"/>
    <cellStyle name="Заголовок 3 11 3" xfId="26833" xr:uid="{00000000-0005-0000-0000-0000EB620000}"/>
    <cellStyle name="Заголовок 3 110" xfId="24442" xr:uid="{00000000-0005-0000-0000-0000EC620000}"/>
    <cellStyle name="Заголовок 3 111" xfId="24443" xr:uid="{00000000-0005-0000-0000-0000ED620000}"/>
    <cellStyle name="Заголовок 3 112" xfId="24444" xr:uid="{00000000-0005-0000-0000-0000EE620000}"/>
    <cellStyle name="Заголовок 3 113" xfId="24445" xr:uid="{00000000-0005-0000-0000-0000EF620000}"/>
    <cellStyle name="Заголовок 3 114" xfId="24446" xr:uid="{00000000-0005-0000-0000-0000F0620000}"/>
    <cellStyle name="Заголовок 3 115" xfId="24447" xr:uid="{00000000-0005-0000-0000-0000F1620000}"/>
    <cellStyle name="Заголовок 3 116" xfId="24448" xr:uid="{00000000-0005-0000-0000-0000F2620000}"/>
    <cellStyle name="Заголовок 3 117" xfId="24449" xr:uid="{00000000-0005-0000-0000-0000F3620000}"/>
    <cellStyle name="Заголовок 3 118" xfId="24450" xr:uid="{00000000-0005-0000-0000-0000F4620000}"/>
    <cellStyle name="Заголовок 3 119" xfId="24451" xr:uid="{00000000-0005-0000-0000-0000F5620000}"/>
    <cellStyle name="Заголовок 3 12" xfId="24452" xr:uid="{00000000-0005-0000-0000-0000F6620000}"/>
    <cellStyle name="Заголовок 3 12 2" xfId="26869" xr:uid="{00000000-0005-0000-0000-0000F7620000}"/>
    <cellStyle name="Заголовок 3 120" xfId="24453" xr:uid="{00000000-0005-0000-0000-0000F8620000}"/>
    <cellStyle name="Заголовок 3 121" xfId="24454" xr:uid="{00000000-0005-0000-0000-0000F9620000}"/>
    <cellStyle name="Заголовок 3 122" xfId="24455" xr:uid="{00000000-0005-0000-0000-0000FA620000}"/>
    <cellStyle name="Заголовок 3 123" xfId="24456" xr:uid="{00000000-0005-0000-0000-0000FB620000}"/>
    <cellStyle name="Заголовок 3 124" xfId="24457" xr:uid="{00000000-0005-0000-0000-0000FC620000}"/>
    <cellStyle name="Заголовок 3 125" xfId="24458" xr:uid="{00000000-0005-0000-0000-0000FD620000}"/>
    <cellStyle name="Заголовок 3 126" xfId="24459" xr:uid="{00000000-0005-0000-0000-0000FE620000}"/>
    <cellStyle name="Заголовок 3 127" xfId="24460" xr:uid="{00000000-0005-0000-0000-0000FF620000}"/>
    <cellStyle name="Заголовок 3 128" xfId="24461" xr:uid="{00000000-0005-0000-0000-000000630000}"/>
    <cellStyle name="Заголовок 3 129" xfId="24462" xr:uid="{00000000-0005-0000-0000-000001630000}"/>
    <cellStyle name="Заголовок 3 13" xfId="24463" xr:uid="{00000000-0005-0000-0000-000002630000}"/>
    <cellStyle name="Заголовок 3 13 2" xfId="26876" xr:uid="{00000000-0005-0000-0000-000003630000}"/>
    <cellStyle name="Заголовок 3 130" xfId="24464" xr:uid="{00000000-0005-0000-0000-000004630000}"/>
    <cellStyle name="Заголовок 3 131" xfId="24465" xr:uid="{00000000-0005-0000-0000-000005630000}"/>
    <cellStyle name="Заголовок 3 132" xfId="24466" xr:uid="{00000000-0005-0000-0000-000006630000}"/>
    <cellStyle name="Заголовок 3 133" xfId="24467" xr:uid="{00000000-0005-0000-0000-000007630000}"/>
    <cellStyle name="Заголовок 3 134" xfId="24468" xr:uid="{00000000-0005-0000-0000-000008630000}"/>
    <cellStyle name="Заголовок 3 135" xfId="24469" xr:uid="{00000000-0005-0000-0000-000009630000}"/>
    <cellStyle name="Заголовок 3 136" xfId="24470" xr:uid="{00000000-0005-0000-0000-00000A630000}"/>
    <cellStyle name="Заголовок 3 137" xfId="24471" xr:uid="{00000000-0005-0000-0000-00000B630000}"/>
    <cellStyle name="Заголовок 3 138" xfId="24472" xr:uid="{00000000-0005-0000-0000-00000C630000}"/>
    <cellStyle name="Заголовок 3 139" xfId="24473" xr:uid="{00000000-0005-0000-0000-00000D630000}"/>
    <cellStyle name="Заголовок 3 14" xfId="24474" xr:uid="{00000000-0005-0000-0000-00000E630000}"/>
    <cellStyle name="Заголовок 3 14 2" xfId="26859" xr:uid="{00000000-0005-0000-0000-00000F630000}"/>
    <cellStyle name="Заголовок 3 140" xfId="24475" xr:uid="{00000000-0005-0000-0000-000010630000}"/>
    <cellStyle name="Заголовок 3 141" xfId="24476" xr:uid="{00000000-0005-0000-0000-000011630000}"/>
    <cellStyle name="Заголовок 3 142" xfId="24477" xr:uid="{00000000-0005-0000-0000-000012630000}"/>
    <cellStyle name="Заголовок 3 143" xfId="24478" xr:uid="{00000000-0005-0000-0000-000013630000}"/>
    <cellStyle name="Заголовок 3 144" xfId="24479" xr:uid="{00000000-0005-0000-0000-000014630000}"/>
    <cellStyle name="Заголовок 3 145" xfId="24480" xr:uid="{00000000-0005-0000-0000-000015630000}"/>
    <cellStyle name="Заголовок 3 146" xfId="24481" xr:uid="{00000000-0005-0000-0000-000016630000}"/>
    <cellStyle name="Заголовок 3 147" xfId="24482" xr:uid="{00000000-0005-0000-0000-000017630000}"/>
    <cellStyle name="Заголовок 3 148" xfId="24483" xr:uid="{00000000-0005-0000-0000-000018630000}"/>
    <cellStyle name="Заголовок 3 149" xfId="24484" xr:uid="{00000000-0005-0000-0000-000019630000}"/>
    <cellStyle name="Заголовок 3 15" xfId="24485" xr:uid="{00000000-0005-0000-0000-00001A630000}"/>
    <cellStyle name="Заголовок 3 15 2" xfId="26917" xr:uid="{00000000-0005-0000-0000-00001B630000}"/>
    <cellStyle name="Заголовок 3 150" xfId="24486" xr:uid="{00000000-0005-0000-0000-00001C630000}"/>
    <cellStyle name="Заголовок 3 151" xfId="24487" xr:uid="{00000000-0005-0000-0000-00001D630000}"/>
    <cellStyle name="Заголовок 3 152" xfId="24488" xr:uid="{00000000-0005-0000-0000-00001E630000}"/>
    <cellStyle name="Заголовок 3 153" xfId="24489" xr:uid="{00000000-0005-0000-0000-00001F630000}"/>
    <cellStyle name="Заголовок 3 154" xfId="24490" xr:uid="{00000000-0005-0000-0000-000020630000}"/>
    <cellStyle name="Заголовок 3 155" xfId="24491" xr:uid="{00000000-0005-0000-0000-000021630000}"/>
    <cellStyle name="Заголовок 3 156" xfId="24492" xr:uid="{00000000-0005-0000-0000-000022630000}"/>
    <cellStyle name="Заголовок 3 157" xfId="24493" xr:uid="{00000000-0005-0000-0000-000023630000}"/>
    <cellStyle name="Заголовок 3 158" xfId="24494" xr:uid="{00000000-0005-0000-0000-000024630000}"/>
    <cellStyle name="Заголовок 3 159" xfId="24495" xr:uid="{00000000-0005-0000-0000-000025630000}"/>
    <cellStyle name="Заголовок 3 16" xfId="24496" xr:uid="{00000000-0005-0000-0000-000026630000}"/>
    <cellStyle name="Заголовок 3 16 2" xfId="26924" xr:uid="{00000000-0005-0000-0000-000027630000}"/>
    <cellStyle name="Заголовок 3 160" xfId="24497" xr:uid="{00000000-0005-0000-0000-000028630000}"/>
    <cellStyle name="Заголовок 3 161" xfId="24498" xr:uid="{00000000-0005-0000-0000-000029630000}"/>
    <cellStyle name="Заголовок 3 162" xfId="24499" xr:uid="{00000000-0005-0000-0000-00002A630000}"/>
    <cellStyle name="Заголовок 3 163" xfId="24500" xr:uid="{00000000-0005-0000-0000-00002B630000}"/>
    <cellStyle name="Заголовок 3 164" xfId="24501" xr:uid="{00000000-0005-0000-0000-00002C630000}"/>
    <cellStyle name="Заголовок 3 165" xfId="24502" xr:uid="{00000000-0005-0000-0000-00002D630000}"/>
    <cellStyle name="Заголовок 3 166" xfId="24503" xr:uid="{00000000-0005-0000-0000-00002E630000}"/>
    <cellStyle name="Заголовок 3 167" xfId="24504" xr:uid="{00000000-0005-0000-0000-00002F630000}"/>
    <cellStyle name="Заголовок 3 168" xfId="24505" xr:uid="{00000000-0005-0000-0000-000030630000}"/>
    <cellStyle name="Заголовок 3 169" xfId="24506" xr:uid="{00000000-0005-0000-0000-000031630000}"/>
    <cellStyle name="Заголовок 3 17" xfId="24507" xr:uid="{00000000-0005-0000-0000-000032630000}"/>
    <cellStyle name="Заголовок 3 17 2" xfId="26907" xr:uid="{00000000-0005-0000-0000-000033630000}"/>
    <cellStyle name="Заголовок 3 170" xfId="24508" xr:uid="{00000000-0005-0000-0000-000034630000}"/>
    <cellStyle name="Заголовок 3 171" xfId="24509" xr:uid="{00000000-0005-0000-0000-000035630000}"/>
    <cellStyle name="Заголовок 3 172" xfId="24510" xr:uid="{00000000-0005-0000-0000-000036630000}"/>
    <cellStyle name="Заголовок 3 18" xfId="24511" xr:uid="{00000000-0005-0000-0000-000037630000}"/>
    <cellStyle name="Заголовок 3 18 2" xfId="26970" xr:uid="{00000000-0005-0000-0000-000038630000}"/>
    <cellStyle name="Заголовок 3 19" xfId="24512" xr:uid="{00000000-0005-0000-0000-000039630000}"/>
    <cellStyle name="Заголовок 3 19 2" xfId="26977" xr:uid="{00000000-0005-0000-0000-00003A630000}"/>
    <cellStyle name="Заголовок 3 2" xfId="24513" xr:uid="{00000000-0005-0000-0000-00003B630000}"/>
    <cellStyle name="Заголовок 3 2 2" xfId="24514" xr:uid="{00000000-0005-0000-0000-00003C630000}"/>
    <cellStyle name="Заголовок 3 2 3" xfId="24515" xr:uid="{00000000-0005-0000-0000-00003D630000}"/>
    <cellStyle name="Заголовок 3 2 4" xfId="28130" xr:uid="{00000000-0005-0000-0000-00003E630000}"/>
    <cellStyle name="Заголовок 3 20" xfId="24516" xr:uid="{00000000-0005-0000-0000-00003F630000}"/>
    <cellStyle name="Заголовок 3 20 2" xfId="26959" xr:uid="{00000000-0005-0000-0000-000040630000}"/>
    <cellStyle name="Заголовок 3 21" xfId="24517" xr:uid="{00000000-0005-0000-0000-000041630000}"/>
    <cellStyle name="Заголовок 3 21 2" xfId="26987" xr:uid="{00000000-0005-0000-0000-000042630000}"/>
    <cellStyle name="Заголовок 3 22" xfId="24518" xr:uid="{00000000-0005-0000-0000-000043630000}"/>
    <cellStyle name="Заголовок 3 22 2" xfId="26945" xr:uid="{00000000-0005-0000-0000-000044630000}"/>
    <cellStyle name="Заголовок 3 23" xfId="24519" xr:uid="{00000000-0005-0000-0000-000045630000}"/>
    <cellStyle name="Заголовок 3 23 2" xfId="27001" xr:uid="{00000000-0005-0000-0000-000046630000}"/>
    <cellStyle name="Заголовок 3 24" xfId="24520" xr:uid="{00000000-0005-0000-0000-000047630000}"/>
    <cellStyle name="Заголовок 3 24 2" xfId="27062" xr:uid="{00000000-0005-0000-0000-000048630000}"/>
    <cellStyle name="Заголовок 3 25" xfId="24521" xr:uid="{00000000-0005-0000-0000-000049630000}"/>
    <cellStyle name="Заголовок 3 25 2" xfId="27069" xr:uid="{00000000-0005-0000-0000-00004A630000}"/>
    <cellStyle name="Заголовок 3 26" xfId="24522" xr:uid="{00000000-0005-0000-0000-00004B630000}"/>
    <cellStyle name="Заголовок 3 26 2" xfId="27052" xr:uid="{00000000-0005-0000-0000-00004C630000}"/>
    <cellStyle name="Заголовок 3 27" xfId="24523" xr:uid="{00000000-0005-0000-0000-00004D630000}"/>
    <cellStyle name="Заголовок 3 27 2" xfId="27079" xr:uid="{00000000-0005-0000-0000-00004E630000}"/>
    <cellStyle name="Заголовок 3 28" xfId="24524" xr:uid="{00000000-0005-0000-0000-00004F630000}"/>
    <cellStyle name="Заголовок 3 28 2" xfId="27128" xr:uid="{00000000-0005-0000-0000-000050630000}"/>
    <cellStyle name="Заголовок 3 29" xfId="24525" xr:uid="{00000000-0005-0000-0000-000051630000}"/>
    <cellStyle name="Заголовок 3 29 2" xfId="27135" xr:uid="{00000000-0005-0000-0000-000052630000}"/>
    <cellStyle name="Заголовок 3 3" xfId="24526" xr:uid="{00000000-0005-0000-0000-000053630000}"/>
    <cellStyle name="Заголовок 3 3 2" xfId="24527" xr:uid="{00000000-0005-0000-0000-000054630000}"/>
    <cellStyle name="Заголовок 3 3 3" xfId="24528" xr:uid="{00000000-0005-0000-0000-000055630000}"/>
    <cellStyle name="Заголовок 3 30" xfId="24529" xr:uid="{00000000-0005-0000-0000-000056630000}"/>
    <cellStyle name="Заголовок 3 30 2" xfId="27117" xr:uid="{00000000-0005-0000-0000-000057630000}"/>
    <cellStyle name="Заголовок 3 31" xfId="24530" xr:uid="{00000000-0005-0000-0000-000058630000}"/>
    <cellStyle name="Заголовок 3 31 2" xfId="27166" xr:uid="{00000000-0005-0000-0000-000059630000}"/>
    <cellStyle name="Заголовок 3 32" xfId="24531" xr:uid="{00000000-0005-0000-0000-00005A630000}"/>
    <cellStyle name="Заголовок 3 32 2" xfId="27183" xr:uid="{00000000-0005-0000-0000-00005B630000}"/>
    <cellStyle name="Заголовок 3 33" xfId="24532" xr:uid="{00000000-0005-0000-0000-00005C630000}"/>
    <cellStyle name="Заголовок 3 33 2" xfId="27210" xr:uid="{00000000-0005-0000-0000-00005D630000}"/>
    <cellStyle name="Заголовок 3 34" xfId="24533" xr:uid="{00000000-0005-0000-0000-00005E630000}"/>
    <cellStyle name="Заголовок 3 34 2" xfId="27225" xr:uid="{00000000-0005-0000-0000-00005F630000}"/>
    <cellStyle name="Заголовок 3 35" xfId="24534" xr:uid="{00000000-0005-0000-0000-000060630000}"/>
    <cellStyle name="Заголовок 3 35 2" xfId="27238" xr:uid="{00000000-0005-0000-0000-000061630000}"/>
    <cellStyle name="Заголовок 3 36" xfId="24535" xr:uid="{00000000-0005-0000-0000-000062630000}"/>
    <cellStyle name="Заголовок 3 36 2" xfId="27288" xr:uid="{00000000-0005-0000-0000-000063630000}"/>
    <cellStyle name="Заголовок 3 37" xfId="24536" xr:uid="{00000000-0005-0000-0000-000064630000}"/>
    <cellStyle name="Заголовок 3 37 2" xfId="27302" xr:uid="{00000000-0005-0000-0000-000065630000}"/>
    <cellStyle name="Заголовок 3 38" xfId="24537" xr:uid="{00000000-0005-0000-0000-000066630000}"/>
    <cellStyle name="Заголовок 3 38 2" xfId="27274" xr:uid="{00000000-0005-0000-0000-000067630000}"/>
    <cellStyle name="Заголовок 3 39" xfId="24538" xr:uid="{00000000-0005-0000-0000-000068630000}"/>
    <cellStyle name="Заголовок 3 39 2" xfId="27314" xr:uid="{00000000-0005-0000-0000-000069630000}"/>
    <cellStyle name="Заголовок 3 4" xfId="24539" xr:uid="{00000000-0005-0000-0000-00006A630000}"/>
    <cellStyle name="Заголовок 3 4 2" xfId="24540" xr:uid="{00000000-0005-0000-0000-00006B630000}"/>
    <cellStyle name="Заголовок 3 40" xfId="24541" xr:uid="{00000000-0005-0000-0000-00006C630000}"/>
    <cellStyle name="Заголовок 3 40 2" xfId="27380" xr:uid="{00000000-0005-0000-0000-00006D630000}"/>
    <cellStyle name="Заголовок 3 41" xfId="24542" xr:uid="{00000000-0005-0000-0000-00006E630000}"/>
    <cellStyle name="Заголовок 3 41 2" xfId="27365" xr:uid="{00000000-0005-0000-0000-00006F630000}"/>
    <cellStyle name="Заголовок 3 42" xfId="24543" xr:uid="{00000000-0005-0000-0000-000070630000}"/>
    <cellStyle name="Заголовок 3 42 2" xfId="27370" xr:uid="{00000000-0005-0000-0000-000071630000}"/>
    <cellStyle name="Заголовок 3 43" xfId="24544" xr:uid="{00000000-0005-0000-0000-000072630000}"/>
    <cellStyle name="Заголовок 3 43 2" xfId="27352" xr:uid="{00000000-0005-0000-0000-000073630000}"/>
    <cellStyle name="Заголовок 3 44" xfId="24545" xr:uid="{00000000-0005-0000-0000-000074630000}"/>
    <cellStyle name="Заголовок 3 44 2" xfId="27423" xr:uid="{00000000-0005-0000-0000-000075630000}"/>
    <cellStyle name="Заголовок 3 45" xfId="24546" xr:uid="{00000000-0005-0000-0000-000076630000}"/>
    <cellStyle name="Заголовок 3 45 2" xfId="27483" xr:uid="{00000000-0005-0000-0000-000077630000}"/>
    <cellStyle name="Заголовок 3 46" xfId="24547" xr:uid="{00000000-0005-0000-0000-000078630000}"/>
    <cellStyle name="Заголовок 3 46 2" xfId="27492" xr:uid="{00000000-0005-0000-0000-000079630000}"/>
    <cellStyle name="Заголовок 3 47" xfId="24548" xr:uid="{00000000-0005-0000-0000-00007A630000}"/>
    <cellStyle name="Заголовок 3 47 2" xfId="27469" xr:uid="{00000000-0005-0000-0000-00007B630000}"/>
    <cellStyle name="Заголовок 3 48" xfId="24549" xr:uid="{00000000-0005-0000-0000-00007C630000}"/>
    <cellStyle name="Заголовок 3 48 2" xfId="27506" xr:uid="{00000000-0005-0000-0000-00007D630000}"/>
    <cellStyle name="Заголовок 3 49" xfId="24550" xr:uid="{00000000-0005-0000-0000-00007E630000}"/>
    <cellStyle name="Заголовок 3 49 2" xfId="27570" xr:uid="{00000000-0005-0000-0000-00007F630000}"/>
    <cellStyle name="Заголовок 3 5" xfId="24551" xr:uid="{00000000-0005-0000-0000-000080630000}"/>
    <cellStyle name="Заголовок 3 5 2" xfId="24552" xr:uid="{00000000-0005-0000-0000-000081630000}"/>
    <cellStyle name="Заголовок 3 50" xfId="24553" xr:uid="{00000000-0005-0000-0000-000082630000}"/>
    <cellStyle name="Заголовок 3 50 2" xfId="27578" xr:uid="{00000000-0005-0000-0000-000083630000}"/>
    <cellStyle name="Заголовок 3 51" xfId="24554" xr:uid="{00000000-0005-0000-0000-000084630000}"/>
    <cellStyle name="Заголовок 3 51 2" xfId="27555" xr:uid="{00000000-0005-0000-0000-000085630000}"/>
    <cellStyle name="Заголовок 3 52" xfId="24555" xr:uid="{00000000-0005-0000-0000-000086630000}"/>
    <cellStyle name="Заголовок 3 52 2" xfId="27592" xr:uid="{00000000-0005-0000-0000-000087630000}"/>
    <cellStyle name="Заголовок 3 53" xfId="24556" xr:uid="{00000000-0005-0000-0000-000088630000}"/>
    <cellStyle name="Заголовок 3 53 2" xfId="27627" xr:uid="{00000000-0005-0000-0000-000089630000}"/>
    <cellStyle name="Заголовок 3 54" xfId="24557" xr:uid="{00000000-0005-0000-0000-00008A630000}"/>
    <cellStyle name="Заголовок 3 54 2" xfId="27682" xr:uid="{00000000-0005-0000-0000-00008B630000}"/>
    <cellStyle name="Заголовок 3 55" xfId="24558" xr:uid="{00000000-0005-0000-0000-00008C630000}"/>
    <cellStyle name="Заголовок 3 55 2" xfId="27695" xr:uid="{00000000-0005-0000-0000-00008D630000}"/>
    <cellStyle name="Заголовок 3 56" xfId="24559" xr:uid="{00000000-0005-0000-0000-00008E630000}"/>
    <cellStyle name="Заголовок 3 56 2" xfId="27668" xr:uid="{00000000-0005-0000-0000-00008F630000}"/>
    <cellStyle name="Заголовок 3 57" xfId="24560" xr:uid="{00000000-0005-0000-0000-000090630000}"/>
    <cellStyle name="Заголовок 3 57 2" xfId="27709" xr:uid="{00000000-0005-0000-0000-000091630000}"/>
    <cellStyle name="Заголовок 3 58" xfId="24561" xr:uid="{00000000-0005-0000-0000-000092630000}"/>
    <cellStyle name="Заголовок 3 58 2" xfId="27650" xr:uid="{00000000-0005-0000-0000-000093630000}"/>
    <cellStyle name="Заголовок 3 59" xfId="24562" xr:uid="{00000000-0005-0000-0000-000094630000}"/>
    <cellStyle name="Заголовок 3 59 2" xfId="27766" xr:uid="{00000000-0005-0000-0000-000095630000}"/>
    <cellStyle name="Заголовок 3 6" xfId="24563" xr:uid="{00000000-0005-0000-0000-000096630000}"/>
    <cellStyle name="Заголовок 3 6 2" xfId="24564" xr:uid="{00000000-0005-0000-0000-000097630000}"/>
    <cellStyle name="Заголовок 3 60" xfId="24565" xr:uid="{00000000-0005-0000-0000-000098630000}"/>
    <cellStyle name="Заголовок 3 61" xfId="24566" xr:uid="{00000000-0005-0000-0000-000099630000}"/>
    <cellStyle name="Заголовок 3 62" xfId="24567" xr:uid="{00000000-0005-0000-0000-00009A630000}"/>
    <cellStyle name="Заголовок 3 63" xfId="24568" xr:uid="{00000000-0005-0000-0000-00009B630000}"/>
    <cellStyle name="Заголовок 3 64" xfId="24569" xr:uid="{00000000-0005-0000-0000-00009C630000}"/>
    <cellStyle name="Заголовок 3 65" xfId="24570" xr:uid="{00000000-0005-0000-0000-00009D630000}"/>
    <cellStyle name="Заголовок 3 66" xfId="24571" xr:uid="{00000000-0005-0000-0000-00009E630000}"/>
    <cellStyle name="Заголовок 3 67" xfId="24572" xr:uid="{00000000-0005-0000-0000-00009F630000}"/>
    <cellStyle name="Заголовок 3 68" xfId="24573" xr:uid="{00000000-0005-0000-0000-0000A0630000}"/>
    <cellStyle name="Заголовок 3 69" xfId="24574" xr:uid="{00000000-0005-0000-0000-0000A1630000}"/>
    <cellStyle name="Заголовок 3 7" xfId="24575" xr:uid="{00000000-0005-0000-0000-0000A2630000}"/>
    <cellStyle name="Заголовок 3 7 2" xfId="24576" xr:uid="{00000000-0005-0000-0000-0000A3630000}"/>
    <cellStyle name="Заголовок 3 70" xfId="24577" xr:uid="{00000000-0005-0000-0000-0000A4630000}"/>
    <cellStyle name="Заголовок 3 71" xfId="24578" xr:uid="{00000000-0005-0000-0000-0000A5630000}"/>
    <cellStyle name="Заголовок 3 72" xfId="24579" xr:uid="{00000000-0005-0000-0000-0000A6630000}"/>
    <cellStyle name="Заголовок 3 73" xfId="24580" xr:uid="{00000000-0005-0000-0000-0000A7630000}"/>
    <cellStyle name="Заголовок 3 74" xfId="24581" xr:uid="{00000000-0005-0000-0000-0000A8630000}"/>
    <cellStyle name="Заголовок 3 75" xfId="24582" xr:uid="{00000000-0005-0000-0000-0000A9630000}"/>
    <cellStyle name="Заголовок 3 76" xfId="24583" xr:uid="{00000000-0005-0000-0000-0000AA630000}"/>
    <cellStyle name="Заголовок 3 77" xfId="24584" xr:uid="{00000000-0005-0000-0000-0000AB630000}"/>
    <cellStyle name="Заголовок 3 78" xfId="24585" xr:uid="{00000000-0005-0000-0000-0000AC630000}"/>
    <cellStyle name="Заголовок 3 79" xfId="24586" xr:uid="{00000000-0005-0000-0000-0000AD630000}"/>
    <cellStyle name="Заголовок 3 8" xfId="24587" xr:uid="{00000000-0005-0000-0000-0000AE630000}"/>
    <cellStyle name="Заголовок 3 8 2" xfId="24588" xr:uid="{00000000-0005-0000-0000-0000AF630000}"/>
    <cellStyle name="Заголовок 3 80" xfId="24589" xr:uid="{00000000-0005-0000-0000-0000B0630000}"/>
    <cellStyle name="Заголовок 3 81" xfId="24590" xr:uid="{00000000-0005-0000-0000-0000B1630000}"/>
    <cellStyle name="Заголовок 3 82" xfId="24591" xr:uid="{00000000-0005-0000-0000-0000B2630000}"/>
    <cellStyle name="Заголовок 3 83" xfId="24592" xr:uid="{00000000-0005-0000-0000-0000B3630000}"/>
    <cellStyle name="Заголовок 3 84" xfId="24593" xr:uid="{00000000-0005-0000-0000-0000B4630000}"/>
    <cellStyle name="Заголовок 3 85" xfId="24594" xr:uid="{00000000-0005-0000-0000-0000B5630000}"/>
    <cellStyle name="Заголовок 3 86" xfId="24595" xr:uid="{00000000-0005-0000-0000-0000B6630000}"/>
    <cellStyle name="Заголовок 3 87" xfId="24596" xr:uid="{00000000-0005-0000-0000-0000B7630000}"/>
    <cellStyle name="Заголовок 3 88" xfId="24597" xr:uid="{00000000-0005-0000-0000-0000B8630000}"/>
    <cellStyle name="Заголовок 3 89" xfId="24598" xr:uid="{00000000-0005-0000-0000-0000B9630000}"/>
    <cellStyle name="Заголовок 3 9" xfId="24599" xr:uid="{00000000-0005-0000-0000-0000BA630000}"/>
    <cellStyle name="Заголовок 3 9 2" xfId="24600" xr:uid="{00000000-0005-0000-0000-0000BB630000}"/>
    <cellStyle name="Заголовок 3 90" xfId="24601" xr:uid="{00000000-0005-0000-0000-0000BC630000}"/>
    <cellStyle name="Заголовок 3 91" xfId="24602" xr:uid="{00000000-0005-0000-0000-0000BD630000}"/>
    <cellStyle name="Заголовок 3 92" xfId="24603" xr:uid="{00000000-0005-0000-0000-0000BE630000}"/>
    <cellStyle name="Заголовок 3 93" xfId="24604" xr:uid="{00000000-0005-0000-0000-0000BF630000}"/>
    <cellStyle name="Заголовок 3 94" xfId="24605" xr:uid="{00000000-0005-0000-0000-0000C0630000}"/>
    <cellStyle name="Заголовок 3 95" xfId="24606" xr:uid="{00000000-0005-0000-0000-0000C1630000}"/>
    <cellStyle name="Заголовок 3 96" xfId="24607" xr:uid="{00000000-0005-0000-0000-0000C2630000}"/>
    <cellStyle name="Заголовок 3 97" xfId="24608" xr:uid="{00000000-0005-0000-0000-0000C3630000}"/>
    <cellStyle name="Заголовок 3 98" xfId="24609" xr:uid="{00000000-0005-0000-0000-0000C4630000}"/>
    <cellStyle name="Заголовок 3 99" xfId="24610" xr:uid="{00000000-0005-0000-0000-0000C5630000}"/>
    <cellStyle name="Заголовок 4 10" xfId="24612" xr:uid="{00000000-0005-0000-0000-0000C6630000}"/>
    <cellStyle name="Заголовок 4 10 2" xfId="26838" xr:uid="{00000000-0005-0000-0000-0000C7630000}"/>
    <cellStyle name="Заголовок 4 100" xfId="24613" xr:uid="{00000000-0005-0000-0000-0000C8630000}"/>
    <cellStyle name="Заголовок 4 101" xfId="24614" xr:uid="{00000000-0005-0000-0000-0000C9630000}"/>
    <cellStyle name="Заголовок 4 102" xfId="24615" xr:uid="{00000000-0005-0000-0000-0000CA630000}"/>
    <cellStyle name="Заголовок 4 103" xfId="24616" xr:uid="{00000000-0005-0000-0000-0000CB630000}"/>
    <cellStyle name="Заголовок 4 104" xfId="24617" xr:uid="{00000000-0005-0000-0000-0000CC630000}"/>
    <cellStyle name="Заголовок 4 105" xfId="24618" xr:uid="{00000000-0005-0000-0000-0000CD630000}"/>
    <cellStyle name="Заголовок 4 106" xfId="24619" xr:uid="{00000000-0005-0000-0000-0000CE630000}"/>
    <cellStyle name="Заголовок 4 107" xfId="24620" xr:uid="{00000000-0005-0000-0000-0000CF630000}"/>
    <cellStyle name="Заголовок 4 108" xfId="24621" xr:uid="{00000000-0005-0000-0000-0000D0630000}"/>
    <cellStyle name="Заголовок 4 109" xfId="24622" xr:uid="{00000000-0005-0000-0000-0000D1630000}"/>
    <cellStyle name="Заголовок 4 11" xfId="24623" xr:uid="{00000000-0005-0000-0000-0000D2630000}"/>
    <cellStyle name="Заголовок 4 11 2" xfId="26834" xr:uid="{00000000-0005-0000-0000-0000D3630000}"/>
    <cellStyle name="Заголовок 4 110" xfId="24624" xr:uid="{00000000-0005-0000-0000-0000D4630000}"/>
    <cellStyle name="Заголовок 4 111" xfId="24625" xr:uid="{00000000-0005-0000-0000-0000D5630000}"/>
    <cellStyle name="Заголовок 4 112" xfId="24626" xr:uid="{00000000-0005-0000-0000-0000D6630000}"/>
    <cellStyle name="Заголовок 4 113" xfId="24627" xr:uid="{00000000-0005-0000-0000-0000D7630000}"/>
    <cellStyle name="Заголовок 4 114" xfId="24628" xr:uid="{00000000-0005-0000-0000-0000D8630000}"/>
    <cellStyle name="Заголовок 4 115" xfId="24629" xr:uid="{00000000-0005-0000-0000-0000D9630000}"/>
    <cellStyle name="Заголовок 4 116" xfId="24630" xr:uid="{00000000-0005-0000-0000-0000DA630000}"/>
    <cellStyle name="Заголовок 4 117" xfId="24631" xr:uid="{00000000-0005-0000-0000-0000DB630000}"/>
    <cellStyle name="Заголовок 4 118" xfId="24632" xr:uid="{00000000-0005-0000-0000-0000DC630000}"/>
    <cellStyle name="Заголовок 4 119" xfId="24633" xr:uid="{00000000-0005-0000-0000-0000DD630000}"/>
    <cellStyle name="Заголовок 4 12" xfId="24634" xr:uid="{00000000-0005-0000-0000-0000DE630000}"/>
    <cellStyle name="Заголовок 4 12 2" xfId="26870" xr:uid="{00000000-0005-0000-0000-0000DF630000}"/>
    <cellStyle name="Заголовок 4 120" xfId="24635" xr:uid="{00000000-0005-0000-0000-0000E0630000}"/>
    <cellStyle name="Заголовок 4 121" xfId="24636" xr:uid="{00000000-0005-0000-0000-0000E1630000}"/>
    <cellStyle name="Заголовок 4 122" xfId="24637" xr:uid="{00000000-0005-0000-0000-0000E2630000}"/>
    <cellStyle name="Заголовок 4 123" xfId="24638" xr:uid="{00000000-0005-0000-0000-0000E3630000}"/>
    <cellStyle name="Заголовок 4 124" xfId="24639" xr:uid="{00000000-0005-0000-0000-0000E4630000}"/>
    <cellStyle name="Заголовок 4 125" xfId="24640" xr:uid="{00000000-0005-0000-0000-0000E5630000}"/>
    <cellStyle name="Заголовок 4 126" xfId="24641" xr:uid="{00000000-0005-0000-0000-0000E6630000}"/>
    <cellStyle name="Заголовок 4 127" xfId="24642" xr:uid="{00000000-0005-0000-0000-0000E7630000}"/>
    <cellStyle name="Заголовок 4 128" xfId="24643" xr:uid="{00000000-0005-0000-0000-0000E8630000}"/>
    <cellStyle name="Заголовок 4 129" xfId="24644" xr:uid="{00000000-0005-0000-0000-0000E9630000}"/>
    <cellStyle name="Заголовок 4 13" xfId="24645" xr:uid="{00000000-0005-0000-0000-0000EA630000}"/>
    <cellStyle name="Заголовок 4 13 2" xfId="26875" xr:uid="{00000000-0005-0000-0000-0000EB630000}"/>
    <cellStyle name="Заголовок 4 130" xfId="24646" xr:uid="{00000000-0005-0000-0000-0000EC630000}"/>
    <cellStyle name="Заголовок 4 131" xfId="24647" xr:uid="{00000000-0005-0000-0000-0000ED630000}"/>
    <cellStyle name="Заголовок 4 132" xfId="24648" xr:uid="{00000000-0005-0000-0000-0000EE630000}"/>
    <cellStyle name="Заголовок 4 133" xfId="24649" xr:uid="{00000000-0005-0000-0000-0000EF630000}"/>
    <cellStyle name="Заголовок 4 134" xfId="24650" xr:uid="{00000000-0005-0000-0000-0000F0630000}"/>
    <cellStyle name="Заголовок 4 135" xfId="24651" xr:uid="{00000000-0005-0000-0000-0000F1630000}"/>
    <cellStyle name="Заголовок 4 136" xfId="24652" xr:uid="{00000000-0005-0000-0000-0000F2630000}"/>
    <cellStyle name="Заголовок 4 137" xfId="24653" xr:uid="{00000000-0005-0000-0000-0000F3630000}"/>
    <cellStyle name="Заголовок 4 138" xfId="24654" xr:uid="{00000000-0005-0000-0000-0000F4630000}"/>
    <cellStyle name="Заголовок 4 139" xfId="24655" xr:uid="{00000000-0005-0000-0000-0000F5630000}"/>
    <cellStyle name="Заголовок 4 14" xfId="24656" xr:uid="{00000000-0005-0000-0000-0000F6630000}"/>
    <cellStyle name="Заголовок 4 14 2" xfId="26860" xr:uid="{00000000-0005-0000-0000-0000F7630000}"/>
    <cellStyle name="Заголовок 4 140" xfId="24657" xr:uid="{00000000-0005-0000-0000-0000F8630000}"/>
    <cellStyle name="Заголовок 4 141" xfId="24658" xr:uid="{00000000-0005-0000-0000-0000F9630000}"/>
    <cellStyle name="Заголовок 4 142" xfId="24659" xr:uid="{00000000-0005-0000-0000-0000FA630000}"/>
    <cellStyle name="Заголовок 4 143" xfId="24660" xr:uid="{00000000-0005-0000-0000-0000FB630000}"/>
    <cellStyle name="Заголовок 4 144" xfId="24661" xr:uid="{00000000-0005-0000-0000-0000FC630000}"/>
    <cellStyle name="Заголовок 4 145" xfId="24662" xr:uid="{00000000-0005-0000-0000-0000FD630000}"/>
    <cellStyle name="Заголовок 4 146" xfId="24663" xr:uid="{00000000-0005-0000-0000-0000FE630000}"/>
    <cellStyle name="Заголовок 4 147" xfId="24664" xr:uid="{00000000-0005-0000-0000-0000FF630000}"/>
    <cellStyle name="Заголовок 4 148" xfId="24665" xr:uid="{00000000-0005-0000-0000-000000640000}"/>
    <cellStyle name="Заголовок 4 149" xfId="24666" xr:uid="{00000000-0005-0000-0000-000001640000}"/>
    <cellStyle name="Заголовок 4 15" xfId="24667" xr:uid="{00000000-0005-0000-0000-000002640000}"/>
    <cellStyle name="Заголовок 4 15 2" xfId="26918" xr:uid="{00000000-0005-0000-0000-000003640000}"/>
    <cellStyle name="Заголовок 4 150" xfId="24668" xr:uid="{00000000-0005-0000-0000-000004640000}"/>
    <cellStyle name="Заголовок 4 151" xfId="24669" xr:uid="{00000000-0005-0000-0000-000005640000}"/>
    <cellStyle name="Заголовок 4 152" xfId="24670" xr:uid="{00000000-0005-0000-0000-000006640000}"/>
    <cellStyle name="Заголовок 4 153" xfId="24671" xr:uid="{00000000-0005-0000-0000-000007640000}"/>
    <cellStyle name="Заголовок 4 154" xfId="24672" xr:uid="{00000000-0005-0000-0000-000008640000}"/>
    <cellStyle name="Заголовок 4 155" xfId="24673" xr:uid="{00000000-0005-0000-0000-000009640000}"/>
    <cellStyle name="Заголовок 4 156" xfId="24674" xr:uid="{00000000-0005-0000-0000-00000A640000}"/>
    <cellStyle name="Заголовок 4 157" xfId="24675" xr:uid="{00000000-0005-0000-0000-00000B640000}"/>
    <cellStyle name="Заголовок 4 158" xfId="24676" xr:uid="{00000000-0005-0000-0000-00000C640000}"/>
    <cellStyle name="Заголовок 4 159" xfId="24677" xr:uid="{00000000-0005-0000-0000-00000D640000}"/>
    <cellStyle name="Заголовок 4 16" xfId="24678" xr:uid="{00000000-0005-0000-0000-00000E640000}"/>
    <cellStyle name="Заголовок 4 16 2" xfId="26923" xr:uid="{00000000-0005-0000-0000-00000F640000}"/>
    <cellStyle name="Заголовок 4 160" xfId="24679" xr:uid="{00000000-0005-0000-0000-000010640000}"/>
    <cellStyle name="Заголовок 4 161" xfId="24680" xr:uid="{00000000-0005-0000-0000-000011640000}"/>
    <cellStyle name="Заголовок 4 162" xfId="24681" xr:uid="{00000000-0005-0000-0000-000012640000}"/>
    <cellStyle name="Заголовок 4 163" xfId="24682" xr:uid="{00000000-0005-0000-0000-000013640000}"/>
    <cellStyle name="Заголовок 4 164" xfId="24683" xr:uid="{00000000-0005-0000-0000-000014640000}"/>
    <cellStyle name="Заголовок 4 165" xfId="24684" xr:uid="{00000000-0005-0000-0000-000015640000}"/>
    <cellStyle name="Заголовок 4 166" xfId="24685" xr:uid="{00000000-0005-0000-0000-000016640000}"/>
    <cellStyle name="Заголовок 4 167" xfId="24686" xr:uid="{00000000-0005-0000-0000-000017640000}"/>
    <cellStyle name="Заголовок 4 168" xfId="24687" xr:uid="{00000000-0005-0000-0000-000018640000}"/>
    <cellStyle name="Заголовок 4 169" xfId="24688" xr:uid="{00000000-0005-0000-0000-000019640000}"/>
    <cellStyle name="Заголовок 4 17" xfId="24689" xr:uid="{00000000-0005-0000-0000-00001A640000}"/>
    <cellStyle name="Заголовок 4 17 2" xfId="26909" xr:uid="{00000000-0005-0000-0000-00001B640000}"/>
    <cellStyle name="Заголовок 4 170" xfId="24690" xr:uid="{00000000-0005-0000-0000-00001C640000}"/>
    <cellStyle name="Заголовок 4 171" xfId="24691" xr:uid="{00000000-0005-0000-0000-00001D640000}"/>
    <cellStyle name="Заголовок 4 172" xfId="24692" xr:uid="{00000000-0005-0000-0000-00001E640000}"/>
    <cellStyle name="Заголовок 4 173" xfId="24611" xr:uid="{00000000-0005-0000-0000-00001F640000}"/>
    <cellStyle name="Заголовок 4 18" xfId="24693" xr:uid="{00000000-0005-0000-0000-000020640000}"/>
    <cellStyle name="Заголовок 4 18 2" xfId="26971" xr:uid="{00000000-0005-0000-0000-000021640000}"/>
    <cellStyle name="Заголовок 4 19" xfId="24694" xr:uid="{00000000-0005-0000-0000-000022640000}"/>
    <cellStyle name="Заголовок 4 19 2" xfId="26976" xr:uid="{00000000-0005-0000-0000-000023640000}"/>
    <cellStyle name="Заголовок 4 2" xfId="24695" xr:uid="{00000000-0005-0000-0000-000024640000}"/>
    <cellStyle name="Заголовок 4 2 2" xfId="24696" xr:uid="{00000000-0005-0000-0000-000025640000}"/>
    <cellStyle name="Заголовок 4 2 3" xfId="24697" xr:uid="{00000000-0005-0000-0000-000026640000}"/>
    <cellStyle name="Заголовок 4 20" xfId="24698" xr:uid="{00000000-0005-0000-0000-000027640000}"/>
    <cellStyle name="Заголовок 4 20 2" xfId="26961" xr:uid="{00000000-0005-0000-0000-000028640000}"/>
    <cellStyle name="Заголовок 4 21" xfId="24699" xr:uid="{00000000-0005-0000-0000-000029640000}"/>
    <cellStyle name="Заголовок 4 21 2" xfId="26985" xr:uid="{00000000-0005-0000-0000-00002A640000}"/>
    <cellStyle name="Заголовок 4 22" xfId="24700" xr:uid="{00000000-0005-0000-0000-00002B640000}"/>
    <cellStyle name="Заголовок 4 22 2" xfId="26947" xr:uid="{00000000-0005-0000-0000-00002C640000}"/>
    <cellStyle name="Заголовок 4 23" xfId="24701" xr:uid="{00000000-0005-0000-0000-00002D640000}"/>
    <cellStyle name="Заголовок 4 23 2" xfId="26999" xr:uid="{00000000-0005-0000-0000-00002E640000}"/>
    <cellStyle name="Заголовок 4 24" xfId="24702" xr:uid="{00000000-0005-0000-0000-00002F640000}"/>
    <cellStyle name="Заголовок 4 24 2" xfId="27063" xr:uid="{00000000-0005-0000-0000-000030640000}"/>
    <cellStyle name="Заголовок 4 25" xfId="24703" xr:uid="{00000000-0005-0000-0000-000031640000}"/>
    <cellStyle name="Заголовок 4 25 2" xfId="27068" xr:uid="{00000000-0005-0000-0000-000032640000}"/>
    <cellStyle name="Заголовок 4 26" xfId="24704" xr:uid="{00000000-0005-0000-0000-000033640000}"/>
    <cellStyle name="Заголовок 4 26 2" xfId="27054" xr:uid="{00000000-0005-0000-0000-000034640000}"/>
    <cellStyle name="Заголовок 4 27" xfId="24705" xr:uid="{00000000-0005-0000-0000-000035640000}"/>
    <cellStyle name="Заголовок 4 27 2" xfId="27077" xr:uid="{00000000-0005-0000-0000-000036640000}"/>
    <cellStyle name="Заголовок 4 28" xfId="24706" xr:uid="{00000000-0005-0000-0000-000037640000}"/>
    <cellStyle name="Заголовок 4 28 2" xfId="27129" xr:uid="{00000000-0005-0000-0000-000038640000}"/>
    <cellStyle name="Заголовок 4 29" xfId="24707" xr:uid="{00000000-0005-0000-0000-000039640000}"/>
    <cellStyle name="Заголовок 4 29 2" xfId="27134" xr:uid="{00000000-0005-0000-0000-00003A640000}"/>
    <cellStyle name="Заголовок 4 3" xfId="24708" xr:uid="{00000000-0005-0000-0000-00003B640000}"/>
    <cellStyle name="Заголовок 4 3 2" xfId="24709" xr:uid="{00000000-0005-0000-0000-00003C640000}"/>
    <cellStyle name="Заголовок 4 3 3" xfId="26805" xr:uid="{00000000-0005-0000-0000-00003D640000}"/>
    <cellStyle name="Заголовок 4 30" xfId="24710" xr:uid="{00000000-0005-0000-0000-00003E640000}"/>
    <cellStyle name="Заголовок 4 30 2" xfId="27119" xr:uid="{00000000-0005-0000-0000-00003F640000}"/>
    <cellStyle name="Заголовок 4 31" xfId="24711" xr:uid="{00000000-0005-0000-0000-000040640000}"/>
    <cellStyle name="Заголовок 4 31 2" xfId="27167" xr:uid="{00000000-0005-0000-0000-000041640000}"/>
    <cellStyle name="Заголовок 4 32" xfId="24712" xr:uid="{00000000-0005-0000-0000-000042640000}"/>
    <cellStyle name="Заголовок 4 32 2" xfId="27184" xr:uid="{00000000-0005-0000-0000-000043640000}"/>
    <cellStyle name="Заголовок 4 33" xfId="24713" xr:uid="{00000000-0005-0000-0000-000044640000}"/>
    <cellStyle name="Заголовок 4 33 2" xfId="27211" xr:uid="{00000000-0005-0000-0000-000045640000}"/>
    <cellStyle name="Заголовок 4 34" xfId="24714" xr:uid="{00000000-0005-0000-0000-000046640000}"/>
    <cellStyle name="Заголовок 4 34 2" xfId="27226" xr:uid="{00000000-0005-0000-0000-000047640000}"/>
    <cellStyle name="Заголовок 4 35" xfId="24715" xr:uid="{00000000-0005-0000-0000-000048640000}"/>
    <cellStyle name="Заголовок 4 35 2" xfId="27237" xr:uid="{00000000-0005-0000-0000-000049640000}"/>
    <cellStyle name="Заголовок 4 36" xfId="24716" xr:uid="{00000000-0005-0000-0000-00004A640000}"/>
    <cellStyle name="Заголовок 4 36 2" xfId="27289" xr:uid="{00000000-0005-0000-0000-00004B640000}"/>
    <cellStyle name="Заголовок 4 37" xfId="24717" xr:uid="{00000000-0005-0000-0000-00004C640000}"/>
    <cellStyle name="Заголовок 4 37 2" xfId="27301" xr:uid="{00000000-0005-0000-0000-00004D640000}"/>
    <cellStyle name="Заголовок 4 38" xfId="24718" xr:uid="{00000000-0005-0000-0000-00004E640000}"/>
    <cellStyle name="Заголовок 4 38 2" xfId="27276" xr:uid="{00000000-0005-0000-0000-00004F640000}"/>
    <cellStyle name="Заголовок 4 39" xfId="24719" xr:uid="{00000000-0005-0000-0000-000050640000}"/>
    <cellStyle name="Заголовок 4 39 2" xfId="27313" xr:uid="{00000000-0005-0000-0000-000051640000}"/>
    <cellStyle name="Заголовок 4 4" xfId="24720" xr:uid="{00000000-0005-0000-0000-000052640000}"/>
    <cellStyle name="Заголовок 4 4 2" xfId="26810" xr:uid="{00000000-0005-0000-0000-000053640000}"/>
    <cellStyle name="Заголовок 4 40" xfId="24721" xr:uid="{00000000-0005-0000-0000-000054640000}"/>
    <cellStyle name="Заголовок 4 40 2" xfId="27381" xr:uid="{00000000-0005-0000-0000-000055640000}"/>
    <cellStyle name="Заголовок 4 41" xfId="24722" xr:uid="{00000000-0005-0000-0000-000056640000}"/>
    <cellStyle name="Заголовок 4 41 2" xfId="27364" xr:uid="{00000000-0005-0000-0000-000057640000}"/>
    <cellStyle name="Заголовок 4 42" xfId="24723" xr:uid="{00000000-0005-0000-0000-000058640000}"/>
    <cellStyle name="Заголовок 4 42 2" xfId="27374" xr:uid="{00000000-0005-0000-0000-000059640000}"/>
    <cellStyle name="Заголовок 4 43" xfId="24724" xr:uid="{00000000-0005-0000-0000-00005A640000}"/>
    <cellStyle name="Заголовок 4 43 2" xfId="27350" xr:uid="{00000000-0005-0000-0000-00005B640000}"/>
    <cellStyle name="Заголовок 4 44" xfId="24725" xr:uid="{00000000-0005-0000-0000-00005C640000}"/>
    <cellStyle name="Заголовок 4 44 2" xfId="27422" xr:uid="{00000000-0005-0000-0000-00005D640000}"/>
    <cellStyle name="Заголовок 4 45" xfId="24726" xr:uid="{00000000-0005-0000-0000-00005E640000}"/>
    <cellStyle name="Заголовок 4 45 2" xfId="27484" xr:uid="{00000000-0005-0000-0000-00005F640000}"/>
    <cellStyle name="Заголовок 4 46" xfId="24727" xr:uid="{00000000-0005-0000-0000-000060640000}"/>
    <cellStyle name="Заголовок 4 46 2" xfId="27491" xr:uid="{00000000-0005-0000-0000-000061640000}"/>
    <cellStyle name="Заголовок 4 47" xfId="24728" xr:uid="{00000000-0005-0000-0000-000062640000}"/>
    <cellStyle name="Заголовок 4 47 2" xfId="27471" xr:uid="{00000000-0005-0000-0000-000063640000}"/>
    <cellStyle name="Заголовок 4 48" xfId="24729" xr:uid="{00000000-0005-0000-0000-000064640000}"/>
    <cellStyle name="Заголовок 4 48 2" xfId="27504" xr:uid="{00000000-0005-0000-0000-000065640000}"/>
    <cellStyle name="Заголовок 4 49" xfId="24730" xr:uid="{00000000-0005-0000-0000-000066640000}"/>
    <cellStyle name="Заголовок 4 49 2" xfId="27571" xr:uid="{00000000-0005-0000-0000-000067640000}"/>
    <cellStyle name="Заголовок 4 5" xfId="24731" xr:uid="{00000000-0005-0000-0000-000068640000}"/>
    <cellStyle name="Заголовок 4 5 2" xfId="26808" xr:uid="{00000000-0005-0000-0000-000069640000}"/>
    <cellStyle name="Заголовок 4 50" xfId="24732" xr:uid="{00000000-0005-0000-0000-00006A640000}"/>
    <cellStyle name="Заголовок 4 50 2" xfId="27577" xr:uid="{00000000-0005-0000-0000-00006B640000}"/>
    <cellStyle name="Заголовок 4 51" xfId="24733" xr:uid="{00000000-0005-0000-0000-00006C640000}"/>
    <cellStyle name="Заголовок 4 51 2" xfId="27556" xr:uid="{00000000-0005-0000-0000-00006D640000}"/>
    <cellStyle name="Заголовок 4 52" xfId="24734" xr:uid="{00000000-0005-0000-0000-00006E640000}"/>
    <cellStyle name="Заголовок 4 52 2" xfId="27590" xr:uid="{00000000-0005-0000-0000-00006F640000}"/>
    <cellStyle name="Заголовок 4 53" xfId="24735" xr:uid="{00000000-0005-0000-0000-000070640000}"/>
    <cellStyle name="Заголовок 4 53 2" xfId="27628" xr:uid="{00000000-0005-0000-0000-000071640000}"/>
    <cellStyle name="Заголовок 4 54" xfId="24736" xr:uid="{00000000-0005-0000-0000-000072640000}"/>
    <cellStyle name="Заголовок 4 54 2" xfId="27683" xr:uid="{00000000-0005-0000-0000-000073640000}"/>
    <cellStyle name="Заголовок 4 55" xfId="24737" xr:uid="{00000000-0005-0000-0000-000074640000}"/>
    <cellStyle name="Заголовок 4 55 2" xfId="27694" xr:uid="{00000000-0005-0000-0000-000075640000}"/>
    <cellStyle name="Заголовок 4 56" xfId="24738" xr:uid="{00000000-0005-0000-0000-000076640000}"/>
    <cellStyle name="Заголовок 4 56 2" xfId="27670" xr:uid="{00000000-0005-0000-0000-000077640000}"/>
    <cellStyle name="Заголовок 4 57" xfId="24739" xr:uid="{00000000-0005-0000-0000-000078640000}"/>
    <cellStyle name="Заголовок 4 57 2" xfId="27707" xr:uid="{00000000-0005-0000-0000-000079640000}"/>
    <cellStyle name="Заголовок 4 58" xfId="24740" xr:uid="{00000000-0005-0000-0000-00007A640000}"/>
    <cellStyle name="Заголовок 4 58 2" xfId="27652" xr:uid="{00000000-0005-0000-0000-00007B640000}"/>
    <cellStyle name="Заголовок 4 59" xfId="24741" xr:uid="{00000000-0005-0000-0000-00007C640000}"/>
    <cellStyle name="Заголовок 4 59 2" xfId="27767" xr:uid="{00000000-0005-0000-0000-00007D640000}"/>
    <cellStyle name="Заголовок 4 6" xfId="24742" xr:uid="{00000000-0005-0000-0000-00007E640000}"/>
    <cellStyle name="Заголовок 4 6 2" xfId="26819" xr:uid="{00000000-0005-0000-0000-00007F640000}"/>
    <cellStyle name="Заголовок 4 60" xfId="24743" xr:uid="{00000000-0005-0000-0000-000080640000}"/>
    <cellStyle name="Заголовок 4 61" xfId="24744" xr:uid="{00000000-0005-0000-0000-000081640000}"/>
    <cellStyle name="Заголовок 4 62" xfId="24745" xr:uid="{00000000-0005-0000-0000-000082640000}"/>
    <cellStyle name="Заголовок 4 63" xfId="24746" xr:uid="{00000000-0005-0000-0000-000083640000}"/>
    <cellStyle name="Заголовок 4 64" xfId="24747" xr:uid="{00000000-0005-0000-0000-000084640000}"/>
    <cellStyle name="Заголовок 4 65" xfId="24748" xr:uid="{00000000-0005-0000-0000-000085640000}"/>
    <cellStyle name="Заголовок 4 66" xfId="24749" xr:uid="{00000000-0005-0000-0000-000086640000}"/>
    <cellStyle name="Заголовок 4 67" xfId="24750" xr:uid="{00000000-0005-0000-0000-000087640000}"/>
    <cellStyle name="Заголовок 4 68" xfId="24751" xr:uid="{00000000-0005-0000-0000-000088640000}"/>
    <cellStyle name="Заголовок 4 69" xfId="24752" xr:uid="{00000000-0005-0000-0000-000089640000}"/>
    <cellStyle name="Заголовок 4 7" xfId="24753" xr:uid="{00000000-0005-0000-0000-00008A640000}"/>
    <cellStyle name="Заголовок 4 7 2" xfId="26817" xr:uid="{00000000-0005-0000-0000-00008B640000}"/>
    <cellStyle name="Заголовок 4 70" xfId="24754" xr:uid="{00000000-0005-0000-0000-00008C640000}"/>
    <cellStyle name="Заголовок 4 71" xfId="24755" xr:uid="{00000000-0005-0000-0000-00008D640000}"/>
    <cellStyle name="Заголовок 4 72" xfId="24756" xr:uid="{00000000-0005-0000-0000-00008E640000}"/>
    <cellStyle name="Заголовок 4 73" xfId="24757" xr:uid="{00000000-0005-0000-0000-00008F640000}"/>
    <cellStyle name="Заголовок 4 74" xfId="24758" xr:uid="{00000000-0005-0000-0000-000090640000}"/>
    <cellStyle name="Заголовок 4 75" xfId="24759" xr:uid="{00000000-0005-0000-0000-000091640000}"/>
    <cellStyle name="Заголовок 4 76" xfId="24760" xr:uid="{00000000-0005-0000-0000-000092640000}"/>
    <cellStyle name="Заголовок 4 77" xfId="24761" xr:uid="{00000000-0005-0000-0000-000093640000}"/>
    <cellStyle name="Заголовок 4 78" xfId="24762" xr:uid="{00000000-0005-0000-0000-000094640000}"/>
    <cellStyle name="Заголовок 4 79" xfId="24763" xr:uid="{00000000-0005-0000-0000-000095640000}"/>
    <cellStyle name="Заголовок 4 8" xfId="24764" xr:uid="{00000000-0005-0000-0000-000096640000}"/>
    <cellStyle name="Заголовок 4 8 2" xfId="26814" xr:uid="{00000000-0005-0000-0000-000097640000}"/>
    <cellStyle name="Заголовок 4 80" xfId="24765" xr:uid="{00000000-0005-0000-0000-000098640000}"/>
    <cellStyle name="Заголовок 4 81" xfId="24766" xr:uid="{00000000-0005-0000-0000-000099640000}"/>
    <cellStyle name="Заголовок 4 82" xfId="24767" xr:uid="{00000000-0005-0000-0000-00009A640000}"/>
    <cellStyle name="Заголовок 4 83" xfId="24768" xr:uid="{00000000-0005-0000-0000-00009B640000}"/>
    <cellStyle name="Заголовок 4 84" xfId="24769" xr:uid="{00000000-0005-0000-0000-00009C640000}"/>
    <cellStyle name="Заголовок 4 85" xfId="24770" xr:uid="{00000000-0005-0000-0000-00009D640000}"/>
    <cellStyle name="Заголовок 4 86" xfId="24771" xr:uid="{00000000-0005-0000-0000-00009E640000}"/>
    <cellStyle name="Заголовок 4 87" xfId="24772" xr:uid="{00000000-0005-0000-0000-00009F640000}"/>
    <cellStyle name="Заголовок 4 88" xfId="24773" xr:uid="{00000000-0005-0000-0000-0000A0640000}"/>
    <cellStyle name="Заголовок 4 89" xfId="24774" xr:uid="{00000000-0005-0000-0000-0000A1640000}"/>
    <cellStyle name="Заголовок 4 9" xfId="24775" xr:uid="{00000000-0005-0000-0000-0000A2640000}"/>
    <cellStyle name="Заголовок 4 9 2" xfId="26837" xr:uid="{00000000-0005-0000-0000-0000A3640000}"/>
    <cellStyle name="Заголовок 4 90" xfId="24776" xr:uid="{00000000-0005-0000-0000-0000A4640000}"/>
    <cellStyle name="Заголовок 4 91" xfId="24777" xr:uid="{00000000-0005-0000-0000-0000A5640000}"/>
    <cellStyle name="Заголовок 4 92" xfId="24778" xr:uid="{00000000-0005-0000-0000-0000A6640000}"/>
    <cellStyle name="Заголовок 4 93" xfId="24779" xr:uid="{00000000-0005-0000-0000-0000A7640000}"/>
    <cellStyle name="Заголовок 4 94" xfId="24780" xr:uid="{00000000-0005-0000-0000-0000A8640000}"/>
    <cellStyle name="Заголовок 4 95" xfId="24781" xr:uid="{00000000-0005-0000-0000-0000A9640000}"/>
    <cellStyle name="Заголовок 4 96" xfId="24782" xr:uid="{00000000-0005-0000-0000-0000AA640000}"/>
    <cellStyle name="Заголовок 4 97" xfId="24783" xr:uid="{00000000-0005-0000-0000-0000AB640000}"/>
    <cellStyle name="Заголовок 4 98" xfId="24784" xr:uid="{00000000-0005-0000-0000-0000AC640000}"/>
    <cellStyle name="Заголовок 4 99" xfId="24785" xr:uid="{00000000-0005-0000-0000-0000AD640000}"/>
    <cellStyle name="Итог 10" xfId="24786" xr:uid="{00000000-0005-0000-0000-0000AE640000}"/>
    <cellStyle name="Итог 10 2" xfId="24787" xr:uid="{00000000-0005-0000-0000-0000AF640000}"/>
    <cellStyle name="Итог 10 3" xfId="24788" xr:uid="{00000000-0005-0000-0000-0000B0640000}"/>
    <cellStyle name="Итог 10 4" xfId="24789" xr:uid="{00000000-0005-0000-0000-0000B1640000}"/>
    <cellStyle name="Итог 10 5" xfId="24790" xr:uid="{00000000-0005-0000-0000-0000B2640000}"/>
    <cellStyle name="Итог 10 6" xfId="24791" xr:uid="{00000000-0005-0000-0000-0000B3640000}"/>
    <cellStyle name="Итог 100" xfId="24792" xr:uid="{00000000-0005-0000-0000-0000B4640000}"/>
    <cellStyle name="Итог 101" xfId="24793" xr:uid="{00000000-0005-0000-0000-0000B5640000}"/>
    <cellStyle name="Итог 102" xfId="24794" xr:uid="{00000000-0005-0000-0000-0000B6640000}"/>
    <cellStyle name="Итог 103" xfId="24795" xr:uid="{00000000-0005-0000-0000-0000B7640000}"/>
    <cellStyle name="Итог 104" xfId="24796" xr:uid="{00000000-0005-0000-0000-0000B8640000}"/>
    <cellStyle name="Итог 105" xfId="24797" xr:uid="{00000000-0005-0000-0000-0000B9640000}"/>
    <cellStyle name="Итог 106" xfId="24798" xr:uid="{00000000-0005-0000-0000-0000BA640000}"/>
    <cellStyle name="Итог 107" xfId="24799" xr:uid="{00000000-0005-0000-0000-0000BB640000}"/>
    <cellStyle name="Итог 108" xfId="24800" xr:uid="{00000000-0005-0000-0000-0000BC640000}"/>
    <cellStyle name="Итог 109" xfId="24801" xr:uid="{00000000-0005-0000-0000-0000BD640000}"/>
    <cellStyle name="Итог 11" xfId="24802" xr:uid="{00000000-0005-0000-0000-0000BE640000}"/>
    <cellStyle name="Итог 11 2" xfId="24803" xr:uid="{00000000-0005-0000-0000-0000BF640000}"/>
    <cellStyle name="Итог 11 3" xfId="24804" xr:uid="{00000000-0005-0000-0000-0000C0640000}"/>
    <cellStyle name="Итог 11 4" xfId="24805" xr:uid="{00000000-0005-0000-0000-0000C1640000}"/>
    <cellStyle name="Итог 11 5" xfId="24806" xr:uid="{00000000-0005-0000-0000-0000C2640000}"/>
    <cellStyle name="Итог 11 6" xfId="24807" xr:uid="{00000000-0005-0000-0000-0000C3640000}"/>
    <cellStyle name="Итог 110" xfId="24808" xr:uid="{00000000-0005-0000-0000-0000C4640000}"/>
    <cellStyle name="Итог 111" xfId="24809" xr:uid="{00000000-0005-0000-0000-0000C5640000}"/>
    <cellStyle name="Итог 112" xfId="24810" xr:uid="{00000000-0005-0000-0000-0000C6640000}"/>
    <cellStyle name="Итог 113" xfId="24811" xr:uid="{00000000-0005-0000-0000-0000C7640000}"/>
    <cellStyle name="Итог 114" xfId="24812" xr:uid="{00000000-0005-0000-0000-0000C8640000}"/>
    <cellStyle name="Итог 115" xfId="24813" xr:uid="{00000000-0005-0000-0000-0000C9640000}"/>
    <cellStyle name="Итог 116" xfId="24814" xr:uid="{00000000-0005-0000-0000-0000CA640000}"/>
    <cellStyle name="Итог 117" xfId="24815" xr:uid="{00000000-0005-0000-0000-0000CB640000}"/>
    <cellStyle name="Итог 118" xfId="24816" xr:uid="{00000000-0005-0000-0000-0000CC640000}"/>
    <cellStyle name="Итог 119" xfId="24817" xr:uid="{00000000-0005-0000-0000-0000CD640000}"/>
    <cellStyle name="Итог 12" xfId="24818" xr:uid="{00000000-0005-0000-0000-0000CE640000}"/>
    <cellStyle name="Итог 12 2" xfId="24819" xr:uid="{00000000-0005-0000-0000-0000CF640000}"/>
    <cellStyle name="Итог 12 3" xfId="24820" xr:uid="{00000000-0005-0000-0000-0000D0640000}"/>
    <cellStyle name="Итог 12 4" xfId="24821" xr:uid="{00000000-0005-0000-0000-0000D1640000}"/>
    <cellStyle name="Итог 12 5" xfId="24822" xr:uid="{00000000-0005-0000-0000-0000D2640000}"/>
    <cellStyle name="Итог 12 6" xfId="24823" xr:uid="{00000000-0005-0000-0000-0000D3640000}"/>
    <cellStyle name="Итог 120" xfId="24824" xr:uid="{00000000-0005-0000-0000-0000D4640000}"/>
    <cellStyle name="Итог 121" xfId="24825" xr:uid="{00000000-0005-0000-0000-0000D5640000}"/>
    <cellStyle name="Итог 122" xfId="24826" xr:uid="{00000000-0005-0000-0000-0000D6640000}"/>
    <cellStyle name="Итог 123" xfId="24827" xr:uid="{00000000-0005-0000-0000-0000D7640000}"/>
    <cellStyle name="Итог 124" xfId="24828" xr:uid="{00000000-0005-0000-0000-0000D8640000}"/>
    <cellStyle name="Итог 125" xfId="24829" xr:uid="{00000000-0005-0000-0000-0000D9640000}"/>
    <cellStyle name="Итог 126" xfId="24830" xr:uid="{00000000-0005-0000-0000-0000DA640000}"/>
    <cellStyle name="Итог 127" xfId="24831" xr:uid="{00000000-0005-0000-0000-0000DB640000}"/>
    <cellStyle name="Итог 128" xfId="24832" xr:uid="{00000000-0005-0000-0000-0000DC640000}"/>
    <cellStyle name="Итог 129" xfId="24833" xr:uid="{00000000-0005-0000-0000-0000DD640000}"/>
    <cellStyle name="Итог 13" xfId="24834" xr:uid="{00000000-0005-0000-0000-0000DE640000}"/>
    <cellStyle name="Итог 13 2" xfId="24835" xr:uid="{00000000-0005-0000-0000-0000DF640000}"/>
    <cellStyle name="Итог 13 3" xfId="24836" xr:uid="{00000000-0005-0000-0000-0000E0640000}"/>
    <cellStyle name="Итог 13 4" xfId="24837" xr:uid="{00000000-0005-0000-0000-0000E1640000}"/>
    <cellStyle name="Итог 13 5" xfId="24838" xr:uid="{00000000-0005-0000-0000-0000E2640000}"/>
    <cellStyle name="Итог 13 6" xfId="24839" xr:uid="{00000000-0005-0000-0000-0000E3640000}"/>
    <cellStyle name="Итог 130" xfId="24840" xr:uid="{00000000-0005-0000-0000-0000E4640000}"/>
    <cellStyle name="Итог 131" xfId="24841" xr:uid="{00000000-0005-0000-0000-0000E5640000}"/>
    <cellStyle name="Итог 132" xfId="24842" xr:uid="{00000000-0005-0000-0000-0000E6640000}"/>
    <cellStyle name="Итог 133" xfId="24843" xr:uid="{00000000-0005-0000-0000-0000E7640000}"/>
    <cellStyle name="Итог 134" xfId="24844" xr:uid="{00000000-0005-0000-0000-0000E8640000}"/>
    <cellStyle name="Итог 135" xfId="24845" xr:uid="{00000000-0005-0000-0000-0000E9640000}"/>
    <cellStyle name="Итог 136" xfId="24846" xr:uid="{00000000-0005-0000-0000-0000EA640000}"/>
    <cellStyle name="Итог 137" xfId="24847" xr:uid="{00000000-0005-0000-0000-0000EB640000}"/>
    <cellStyle name="Итог 138" xfId="24848" xr:uid="{00000000-0005-0000-0000-0000EC640000}"/>
    <cellStyle name="Итог 139" xfId="24849" xr:uid="{00000000-0005-0000-0000-0000ED640000}"/>
    <cellStyle name="Итог 14" xfId="24850" xr:uid="{00000000-0005-0000-0000-0000EE640000}"/>
    <cellStyle name="Итог 14 2" xfId="24851" xr:uid="{00000000-0005-0000-0000-0000EF640000}"/>
    <cellStyle name="Итог 14 3" xfId="24852" xr:uid="{00000000-0005-0000-0000-0000F0640000}"/>
    <cellStyle name="Итог 14 4" xfId="24853" xr:uid="{00000000-0005-0000-0000-0000F1640000}"/>
    <cellStyle name="Итог 14 5" xfId="24854" xr:uid="{00000000-0005-0000-0000-0000F2640000}"/>
    <cellStyle name="Итог 14 6" xfId="24855" xr:uid="{00000000-0005-0000-0000-0000F3640000}"/>
    <cellStyle name="Итог 140" xfId="24856" xr:uid="{00000000-0005-0000-0000-0000F4640000}"/>
    <cellStyle name="Итог 141" xfId="24857" xr:uid="{00000000-0005-0000-0000-0000F5640000}"/>
    <cellStyle name="Итог 142" xfId="24858" xr:uid="{00000000-0005-0000-0000-0000F6640000}"/>
    <cellStyle name="Итог 143" xfId="24859" xr:uid="{00000000-0005-0000-0000-0000F7640000}"/>
    <cellStyle name="Итог 144" xfId="24860" xr:uid="{00000000-0005-0000-0000-0000F8640000}"/>
    <cellStyle name="Итог 145" xfId="24861" xr:uid="{00000000-0005-0000-0000-0000F9640000}"/>
    <cellStyle name="Итог 146" xfId="24862" xr:uid="{00000000-0005-0000-0000-0000FA640000}"/>
    <cellStyle name="Итог 147" xfId="24863" xr:uid="{00000000-0005-0000-0000-0000FB640000}"/>
    <cellStyle name="Итог 148" xfId="24864" xr:uid="{00000000-0005-0000-0000-0000FC640000}"/>
    <cellStyle name="Итог 149" xfId="24865" xr:uid="{00000000-0005-0000-0000-0000FD640000}"/>
    <cellStyle name="Итог 15" xfId="24866" xr:uid="{00000000-0005-0000-0000-0000FE640000}"/>
    <cellStyle name="Итог 15 2" xfId="24867" xr:uid="{00000000-0005-0000-0000-0000FF640000}"/>
    <cellStyle name="Итог 15 3" xfId="24868" xr:uid="{00000000-0005-0000-0000-000000650000}"/>
    <cellStyle name="Итог 15 4" xfId="24869" xr:uid="{00000000-0005-0000-0000-000001650000}"/>
    <cellStyle name="Итог 15 5" xfId="24870" xr:uid="{00000000-0005-0000-0000-000002650000}"/>
    <cellStyle name="Итог 15 6" xfId="24871" xr:uid="{00000000-0005-0000-0000-000003650000}"/>
    <cellStyle name="Итог 150" xfId="24872" xr:uid="{00000000-0005-0000-0000-000004650000}"/>
    <cellStyle name="Итог 151" xfId="24873" xr:uid="{00000000-0005-0000-0000-000005650000}"/>
    <cellStyle name="Итог 152" xfId="24874" xr:uid="{00000000-0005-0000-0000-000006650000}"/>
    <cellStyle name="Итог 153" xfId="24875" xr:uid="{00000000-0005-0000-0000-000007650000}"/>
    <cellStyle name="Итог 154" xfId="24876" xr:uid="{00000000-0005-0000-0000-000008650000}"/>
    <cellStyle name="Итог 155" xfId="24877" xr:uid="{00000000-0005-0000-0000-000009650000}"/>
    <cellStyle name="Итог 156" xfId="24878" xr:uid="{00000000-0005-0000-0000-00000A650000}"/>
    <cellStyle name="Итог 157" xfId="24879" xr:uid="{00000000-0005-0000-0000-00000B650000}"/>
    <cellStyle name="Итог 158" xfId="24880" xr:uid="{00000000-0005-0000-0000-00000C650000}"/>
    <cellStyle name="Итог 159" xfId="24881" xr:uid="{00000000-0005-0000-0000-00000D650000}"/>
    <cellStyle name="Итог 16" xfId="24882" xr:uid="{00000000-0005-0000-0000-00000E650000}"/>
    <cellStyle name="Итог 16 2" xfId="24883" xr:uid="{00000000-0005-0000-0000-00000F650000}"/>
    <cellStyle name="Итог 16 3" xfId="24884" xr:uid="{00000000-0005-0000-0000-000010650000}"/>
    <cellStyle name="Итог 16 4" xfId="24885" xr:uid="{00000000-0005-0000-0000-000011650000}"/>
    <cellStyle name="Итог 16 5" xfId="24886" xr:uid="{00000000-0005-0000-0000-000012650000}"/>
    <cellStyle name="Итог 16 6" xfId="24887" xr:uid="{00000000-0005-0000-0000-000013650000}"/>
    <cellStyle name="Итог 160" xfId="24888" xr:uid="{00000000-0005-0000-0000-000014650000}"/>
    <cellStyle name="Итог 161" xfId="24889" xr:uid="{00000000-0005-0000-0000-000015650000}"/>
    <cellStyle name="Итог 162" xfId="24890" xr:uid="{00000000-0005-0000-0000-000016650000}"/>
    <cellStyle name="Итог 163" xfId="24891" xr:uid="{00000000-0005-0000-0000-000017650000}"/>
    <cellStyle name="Итог 164" xfId="24892" xr:uid="{00000000-0005-0000-0000-000018650000}"/>
    <cellStyle name="Итог 165" xfId="24893" xr:uid="{00000000-0005-0000-0000-000019650000}"/>
    <cellStyle name="Итог 166" xfId="24894" xr:uid="{00000000-0005-0000-0000-00001A650000}"/>
    <cellStyle name="Итог 167" xfId="24895" xr:uid="{00000000-0005-0000-0000-00001B650000}"/>
    <cellStyle name="Итог 168" xfId="24896" xr:uid="{00000000-0005-0000-0000-00001C650000}"/>
    <cellStyle name="Итог 169" xfId="24897" xr:uid="{00000000-0005-0000-0000-00001D650000}"/>
    <cellStyle name="Итог 17" xfId="24898" xr:uid="{00000000-0005-0000-0000-00001E650000}"/>
    <cellStyle name="Итог 17 2" xfId="24899" xr:uid="{00000000-0005-0000-0000-00001F650000}"/>
    <cellStyle name="Итог 17 3" xfId="24900" xr:uid="{00000000-0005-0000-0000-000020650000}"/>
    <cellStyle name="Итог 17 4" xfId="24901" xr:uid="{00000000-0005-0000-0000-000021650000}"/>
    <cellStyle name="Итог 17 5" xfId="24902" xr:uid="{00000000-0005-0000-0000-000022650000}"/>
    <cellStyle name="Итог 17 6" xfId="24903" xr:uid="{00000000-0005-0000-0000-000023650000}"/>
    <cellStyle name="Итог 170" xfId="24904" xr:uid="{00000000-0005-0000-0000-000024650000}"/>
    <cellStyle name="Итог 171" xfId="24905" xr:uid="{00000000-0005-0000-0000-000025650000}"/>
    <cellStyle name="Итог 172" xfId="24906" xr:uid="{00000000-0005-0000-0000-000026650000}"/>
    <cellStyle name="Итог 18" xfId="24907" xr:uid="{00000000-0005-0000-0000-000027650000}"/>
    <cellStyle name="Итог 18 2" xfId="24908" xr:uid="{00000000-0005-0000-0000-000028650000}"/>
    <cellStyle name="Итог 18 3" xfId="24909" xr:uid="{00000000-0005-0000-0000-000029650000}"/>
    <cellStyle name="Итог 18 4" xfId="24910" xr:uid="{00000000-0005-0000-0000-00002A650000}"/>
    <cellStyle name="Итог 18 5" xfId="24911" xr:uid="{00000000-0005-0000-0000-00002B650000}"/>
    <cellStyle name="Итог 18 6" xfId="24912" xr:uid="{00000000-0005-0000-0000-00002C650000}"/>
    <cellStyle name="Итог 19" xfId="24913" xr:uid="{00000000-0005-0000-0000-00002D650000}"/>
    <cellStyle name="Итог 19 2" xfId="24914" xr:uid="{00000000-0005-0000-0000-00002E650000}"/>
    <cellStyle name="Итог 19 3" xfId="24915" xr:uid="{00000000-0005-0000-0000-00002F650000}"/>
    <cellStyle name="Итог 19 4" xfId="24916" xr:uid="{00000000-0005-0000-0000-000030650000}"/>
    <cellStyle name="Итог 19 5" xfId="24917" xr:uid="{00000000-0005-0000-0000-000031650000}"/>
    <cellStyle name="Итог 19 6" xfId="24918" xr:uid="{00000000-0005-0000-0000-000032650000}"/>
    <cellStyle name="Итог 2" xfId="24919" xr:uid="{00000000-0005-0000-0000-000033650000}"/>
    <cellStyle name="Итог 2 2" xfId="24920" xr:uid="{00000000-0005-0000-0000-000034650000}"/>
    <cellStyle name="Итог 2 2 2" xfId="24921" xr:uid="{00000000-0005-0000-0000-000035650000}"/>
    <cellStyle name="Итог 2 2 3" xfId="24922" xr:uid="{00000000-0005-0000-0000-000036650000}"/>
    <cellStyle name="Итог 2 2 4" xfId="24923" xr:uid="{00000000-0005-0000-0000-000037650000}"/>
    <cellStyle name="Итог 2 2 5" xfId="24924" xr:uid="{00000000-0005-0000-0000-000038650000}"/>
    <cellStyle name="Итог 2 2 6" xfId="24925" xr:uid="{00000000-0005-0000-0000-000039650000}"/>
    <cellStyle name="Итог 2 3" xfId="24926" xr:uid="{00000000-0005-0000-0000-00003A650000}"/>
    <cellStyle name="Итог 2 4" xfId="24927" xr:uid="{00000000-0005-0000-0000-00003B650000}"/>
    <cellStyle name="Итог 2 5" xfId="24928" xr:uid="{00000000-0005-0000-0000-00003C650000}"/>
    <cellStyle name="Итог 2 6" xfId="24929" xr:uid="{00000000-0005-0000-0000-00003D650000}"/>
    <cellStyle name="Итог 2 7" xfId="24930" xr:uid="{00000000-0005-0000-0000-00003E650000}"/>
    <cellStyle name="Итог 2 8" xfId="28051" xr:uid="{00000000-0005-0000-0000-00003F650000}"/>
    <cellStyle name="Итог 20" xfId="24931" xr:uid="{00000000-0005-0000-0000-000040650000}"/>
    <cellStyle name="Итог 20 2" xfId="24932" xr:uid="{00000000-0005-0000-0000-000041650000}"/>
    <cellStyle name="Итог 21" xfId="24933" xr:uid="{00000000-0005-0000-0000-000042650000}"/>
    <cellStyle name="Итог 21 2" xfId="24934" xr:uid="{00000000-0005-0000-0000-000043650000}"/>
    <cellStyle name="Итог 22" xfId="24935" xr:uid="{00000000-0005-0000-0000-000044650000}"/>
    <cellStyle name="Итог 22 2" xfId="24936" xr:uid="{00000000-0005-0000-0000-000045650000}"/>
    <cellStyle name="Итог 23" xfId="24937" xr:uid="{00000000-0005-0000-0000-000046650000}"/>
    <cellStyle name="Итог 23 2" xfId="24938" xr:uid="{00000000-0005-0000-0000-000047650000}"/>
    <cellStyle name="Итог 24" xfId="24939" xr:uid="{00000000-0005-0000-0000-000048650000}"/>
    <cellStyle name="Итог 24 2" xfId="24940" xr:uid="{00000000-0005-0000-0000-000049650000}"/>
    <cellStyle name="Итог 25" xfId="24941" xr:uid="{00000000-0005-0000-0000-00004A650000}"/>
    <cellStyle name="Итог 25 2" xfId="24942" xr:uid="{00000000-0005-0000-0000-00004B650000}"/>
    <cellStyle name="Итог 26" xfId="24943" xr:uid="{00000000-0005-0000-0000-00004C650000}"/>
    <cellStyle name="Итог 26 2" xfId="24944" xr:uid="{00000000-0005-0000-0000-00004D650000}"/>
    <cellStyle name="Итог 27" xfId="24945" xr:uid="{00000000-0005-0000-0000-00004E650000}"/>
    <cellStyle name="Итог 27 2" xfId="24946" xr:uid="{00000000-0005-0000-0000-00004F650000}"/>
    <cellStyle name="Итог 28" xfId="24947" xr:uid="{00000000-0005-0000-0000-000050650000}"/>
    <cellStyle name="Итог 28 2" xfId="24948" xr:uid="{00000000-0005-0000-0000-000051650000}"/>
    <cellStyle name="Итог 29" xfId="24949" xr:uid="{00000000-0005-0000-0000-000052650000}"/>
    <cellStyle name="Итог 29 2" xfId="24950" xr:uid="{00000000-0005-0000-0000-000053650000}"/>
    <cellStyle name="Итог 3" xfId="24951" xr:uid="{00000000-0005-0000-0000-000054650000}"/>
    <cellStyle name="Итог 3 2" xfId="24952" xr:uid="{00000000-0005-0000-0000-000055650000}"/>
    <cellStyle name="Итог 3 2 2" xfId="24953" xr:uid="{00000000-0005-0000-0000-000056650000}"/>
    <cellStyle name="Итог 3 2 3" xfId="24954" xr:uid="{00000000-0005-0000-0000-000057650000}"/>
    <cellStyle name="Итог 3 2 4" xfId="24955" xr:uid="{00000000-0005-0000-0000-000058650000}"/>
    <cellStyle name="Итог 3 2 5" xfId="24956" xr:uid="{00000000-0005-0000-0000-000059650000}"/>
    <cellStyle name="Итог 3 2 6" xfId="24957" xr:uid="{00000000-0005-0000-0000-00005A650000}"/>
    <cellStyle name="Итог 3 3" xfId="24958" xr:uid="{00000000-0005-0000-0000-00005B650000}"/>
    <cellStyle name="Итог 3 4" xfId="24959" xr:uid="{00000000-0005-0000-0000-00005C650000}"/>
    <cellStyle name="Итог 3 5" xfId="24960" xr:uid="{00000000-0005-0000-0000-00005D650000}"/>
    <cellStyle name="Итог 3 6" xfId="24961" xr:uid="{00000000-0005-0000-0000-00005E650000}"/>
    <cellStyle name="Итог 3 7" xfId="24962" xr:uid="{00000000-0005-0000-0000-00005F650000}"/>
    <cellStyle name="Итог 30" xfId="24963" xr:uid="{00000000-0005-0000-0000-000060650000}"/>
    <cellStyle name="Итог 30 2" xfId="24964" xr:uid="{00000000-0005-0000-0000-000061650000}"/>
    <cellStyle name="Итог 31" xfId="24965" xr:uid="{00000000-0005-0000-0000-000062650000}"/>
    <cellStyle name="Итог 31 2" xfId="24966" xr:uid="{00000000-0005-0000-0000-000063650000}"/>
    <cellStyle name="Итог 32" xfId="24967" xr:uid="{00000000-0005-0000-0000-000064650000}"/>
    <cellStyle name="Итог 32 2" xfId="27190" xr:uid="{00000000-0005-0000-0000-000065650000}"/>
    <cellStyle name="Итог 33" xfId="24968" xr:uid="{00000000-0005-0000-0000-000066650000}"/>
    <cellStyle name="Итог 33 2" xfId="27218" xr:uid="{00000000-0005-0000-0000-000067650000}"/>
    <cellStyle name="Итог 34" xfId="24969" xr:uid="{00000000-0005-0000-0000-000068650000}"/>
    <cellStyle name="Итог 34 2" xfId="27251" xr:uid="{00000000-0005-0000-0000-000069650000}"/>
    <cellStyle name="Итог 35" xfId="24970" xr:uid="{00000000-0005-0000-0000-00006A650000}"/>
    <cellStyle name="Итог 35 2" xfId="27253" xr:uid="{00000000-0005-0000-0000-00006B650000}"/>
    <cellStyle name="Итог 36" xfId="24971" xr:uid="{00000000-0005-0000-0000-00006C650000}"/>
    <cellStyle name="Итог 36 2" xfId="27328" xr:uid="{00000000-0005-0000-0000-00006D650000}"/>
    <cellStyle name="Итог 37" xfId="24972" xr:uid="{00000000-0005-0000-0000-00006E650000}"/>
    <cellStyle name="Итог 37 2" xfId="27335" xr:uid="{00000000-0005-0000-0000-00006F650000}"/>
    <cellStyle name="Итог 38" xfId="24973" xr:uid="{00000000-0005-0000-0000-000070650000}"/>
    <cellStyle name="Итог 38 2" xfId="27342" xr:uid="{00000000-0005-0000-0000-000071650000}"/>
    <cellStyle name="Итог 39" xfId="24974" xr:uid="{00000000-0005-0000-0000-000072650000}"/>
    <cellStyle name="Итог 39 2" xfId="27344" xr:uid="{00000000-0005-0000-0000-000073650000}"/>
    <cellStyle name="Итог 4" xfId="24975" xr:uid="{00000000-0005-0000-0000-000074650000}"/>
    <cellStyle name="Итог 4 2" xfId="24976" xr:uid="{00000000-0005-0000-0000-000075650000}"/>
    <cellStyle name="Итог 4 3" xfId="24977" xr:uid="{00000000-0005-0000-0000-000076650000}"/>
    <cellStyle name="Итог 4 4" xfId="24978" xr:uid="{00000000-0005-0000-0000-000077650000}"/>
    <cellStyle name="Итог 4 5" xfId="24979" xr:uid="{00000000-0005-0000-0000-000078650000}"/>
    <cellStyle name="Итог 4 6" xfId="24980" xr:uid="{00000000-0005-0000-0000-000079650000}"/>
    <cellStyle name="Итог 40" xfId="24981" xr:uid="{00000000-0005-0000-0000-00007A650000}"/>
    <cellStyle name="Итог 40 2" xfId="27406" xr:uid="{00000000-0005-0000-0000-00007B650000}"/>
    <cellStyle name="Итог 41" xfId="24982" xr:uid="{00000000-0005-0000-0000-00007C650000}"/>
    <cellStyle name="Итог 41 2" xfId="27430" xr:uid="{00000000-0005-0000-0000-00007D650000}"/>
    <cellStyle name="Итог 42" xfId="24983" xr:uid="{00000000-0005-0000-0000-00007E650000}"/>
    <cellStyle name="Итог 42 2" xfId="27437" xr:uid="{00000000-0005-0000-0000-00007F650000}"/>
    <cellStyle name="Итог 43" xfId="24984" xr:uid="{00000000-0005-0000-0000-000080650000}"/>
    <cellStyle name="Итог 43 2" xfId="27448" xr:uid="{00000000-0005-0000-0000-000081650000}"/>
    <cellStyle name="Итог 44" xfId="24985" xr:uid="{00000000-0005-0000-0000-000082650000}"/>
    <cellStyle name="Итог 44 2" xfId="27450" xr:uid="{00000000-0005-0000-0000-000083650000}"/>
    <cellStyle name="Итог 45" xfId="24986" xr:uid="{00000000-0005-0000-0000-000084650000}"/>
    <cellStyle name="Итог 45 2" xfId="27519" xr:uid="{00000000-0005-0000-0000-000085650000}"/>
    <cellStyle name="Итог 46" xfId="24987" xr:uid="{00000000-0005-0000-0000-000086650000}"/>
    <cellStyle name="Итог 46 2" xfId="27526" xr:uid="{00000000-0005-0000-0000-000087650000}"/>
    <cellStyle name="Итог 47" xfId="24988" xr:uid="{00000000-0005-0000-0000-000088650000}"/>
    <cellStyle name="Итог 47 2" xfId="27533" xr:uid="{00000000-0005-0000-0000-000089650000}"/>
    <cellStyle name="Итог 48" xfId="24989" xr:uid="{00000000-0005-0000-0000-00008A650000}"/>
    <cellStyle name="Итог 48 2" xfId="27535" xr:uid="{00000000-0005-0000-0000-00008B650000}"/>
    <cellStyle name="Итог 49" xfId="24990" xr:uid="{00000000-0005-0000-0000-00008C650000}"/>
    <cellStyle name="Итог 49 2" xfId="27610" xr:uid="{00000000-0005-0000-0000-00008D650000}"/>
    <cellStyle name="Итог 5" xfId="24991" xr:uid="{00000000-0005-0000-0000-00008E650000}"/>
    <cellStyle name="Итог 5 2" xfId="24992" xr:uid="{00000000-0005-0000-0000-00008F650000}"/>
    <cellStyle name="Итог 5 3" xfId="24993" xr:uid="{00000000-0005-0000-0000-000090650000}"/>
    <cellStyle name="Итог 5 4" xfId="24994" xr:uid="{00000000-0005-0000-0000-000091650000}"/>
    <cellStyle name="Итог 5 5" xfId="24995" xr:uid="{00000000-0005-0000-0000-000092650000}"/>
    <cellStyle name="Итог 5 6" xfId="24996" xr:uid="{00000000-0005-0000-0000-000093650000}"/>
    <cellStyle name="Итог 50" xfId="24997" xr:uid="{00000000-0005-0000-0000-000094650000}"/>
    <cellStyle name="Итог 50 2" xfId="27622" xr:uid="{00000000-0005-0000-0000-000095650000}"/>
    <cellStyle name="Итог 51" xfId="24998" xr:uid="{00000000-0005-0000-0000-000096650000}"/>
    <cellStyle name="Итог 51 2" xfId="27639" xr:uid="{00000000-0005-0000-0000-000097650000}"/>
    <cellStyle name="Итог 52" xfId="24999" xr:uid="{00000000-0005-0000-0000-000098650000}"/>
    <cellStyle name="Итог 52 2" xfId="27644" xr:uid="{00000000-0005-0000-0000-000099650000}"/>
    <cellStyle name="Итог 53" xfId="25000" xr:uid="{00000000-0005-0000-0000-00009A650000}"/>
    <cellStyle name="Итог 53 2" xfId="27647" xr:uid="{00000000-0005-0000-0000-00009B650000}"/>
    <cellStyle name="Итог 54" xfId="25001" xr:uid="{00000000-0005-0000-0000-00009C650000}"/>
    <cellStyle name="Итог 54 2" xfId="27722" xr:uid="{00000000-0005-0000-0000-00009D650000}"/>
    <cellStyle name="Итог 55" xfId="25002" xr:uid="{00000000-0005-0000-0000-00009E650000}"/>
    <cellStyle name="Итог 55 2" xfId="27736" xr:uid="{00000000-0005-0000-0000-00009F650000}"/>
    <cellStyle name="Итог 56" xfId="25003" xr:uid="{00000000-0005-0000-0000-0000A0650000}"/>
    <cellStyle name="Итог 56 2" xfId="27743" xr:uid="{00000000-0005-0000-0000-0000A1650000}"/>
    <cellStyle name="Итог 57" xfId="25004" xr:uid="{00000000-0005-0000-0000-0000A2650000}"/>
    <cellStyle name="Итог 57 2" xfId="27750" xr:uid="{00000000-0005-0000-0000-0000A3650000}"/>
    <cellStyle name="Итог 58" xfId="25005" xr:uid="{00000000-0005-0000-0000-0000A4650000}"/>
    <cellStyle name="Итог 58 2" xfId="27752" xr:uid="{00000000-0005-0000-0000-0000A5650000}"/>
    <cellStyle name="Итог 59" xfId="25006" xr:uid="{00000000-0005-0000-0000-0000A6650000}"/>
    <cellStyle name="Итог 59 2" xfId="27773" xr:uid="{00000000-0005-0000-0000-0000A7650000}"/>
    <cellStyle name="Итог 6" xfId="25007" xr:uid="{00000000-0005-0000-0000-0000A8650000}"/>
    <cellStyle name="Итог 6 2" xfId="25008" xr:uid="{00000000-0005-0000-0000-0000A9650000}"/>
    <cellStyle name="Итог 6 3" xfId="25009" xr:uid="{00000000-0005-0000-0000-0000AA650000}"/>
    <cellStyle name="Итог 6 4" xfId="25010" xr:uid="{00000000-0005-0000-0000-0000AB650000}"/>
    <cellStyle name="Итог 6 5" xfId="25011" xr:uid="{00000000-0005-0000-0000-0000AC650000}"/>
    <cellStyle name="Итог 6 6" xfId="25012" xr:uid="{00000000-0005-0000-0000-0000AD650000}"/>
    <cellStyle name="Итог 60" xfId="25013" xr:uid="{00000000-0005-0000-0000-0000AE650000}"/>
    <cellStyle name="Итог 61" xfId="25014" xr:uid="{00000000-0005-0000-0000-0000AF650000}"/>
    <cellStyle name="Итог 62" xfId="25015" xr:uid="{00000000-0005-0000-0000-0000B0650000}"/>
    <cellStyle name="Итог 63" xfId="25016" xr:uid="{00000000-0005-0000-0000-0000B1650000}"/>
    <cellStyle name="Итог 64" xfId="25017" xr:uid="{00000000-0005-0000-0000-0000B2650000}"/>
    <cellStyle name="Итог 65" xfId="25018" xr:uid="{00000000-0005-0000-0000-0000B3650000}"/>
    <cellStyle name="Итог 66" xfId="25019" xr:uid="{00000000-0005-0000-0000-0000B4650000}"/>
    <cellStyle name="Итог 67" xfId="25020" xr:uid="{00000000-0005-0000-0000-0000B5650000}"/>
    <cellStyle name="Итог 68" xfId="25021" xr:uid="{00000000-0005-0000-0000-0000B6650000}"/>
    <cellStyle name="Итог 69" xfId="25022" xr:uid="{00000000-0005-0000-0000-0000B7650000}"/>
    <cellStyle name="Итог 7" xfId="25023" xr:uid="{00000000-0005-0000-0000-0000B8650000}"/>
    <cellStyle name="Итог 7 2" xfId="25024" xr:uid="{00000000-0005-0000-0000-0000B9650000}"/>
    <cellStyle name="Итог 7 3" xfId="25025" xr:uid="{00000000-0005-0000-0000-0000BA650000}"/>
    <cellStyle name="Итог 7 4" xfId="25026" xr:uid="{00000000-0005-0000-0000-0000BB650000}"/>
    <cellStyle name="Итог 7 5" xfId="25027" xr:uid="{00000000-0005-0000-0000-0000BC650000}"/>
    <cellStyle name="Итог 7 6" xfId="25028" xr:uid="{00000000-0005-0000-0000-0000BD650000}"/>
    <cellStyle name="Итог 70" xfId="25029" xr:uid="{00000000-0005-0000-0000-0000BE650000}"/>
    <cellStyle name="Итог 71" xfId="25030" xr:uid="{00000000-0005-0000-0000-0000BF650000}"/>
    <cellStyle name="Итог 72" xfId="25031" xr:uid="{00000000-0005-0000-0000-0000C0650000}"/>
    <cellStyle name="Итог 73" xfId="25032" xr:uid="{00000000-0005-0000-0000-0000C1650000}"/>
    <cellStyle name="Итог 74" xfId="25033" xr:uid="{00000000-0005-0000-0000-0000C2650000}"/>
    <cellStyle name="Итог 75" xfId="25034" xr:uid="{00000000-0005-0000-0000-0000C3650000}"/>
    <cellStyle name="Итог 76" xfId="25035" xr:uid="{00000000-0005-0000-0000-0000C4650000}"/>
    <cellStyle name="Итог 77" xfId="25036" xr:uid="{00000000-0005-0000-0000-0000C5650000}"/>
    <cellStyle name="Итог 78" xfId="25037" xr:uid="{00000000-0005-0000-0000-0000C6650000}"/>
    <cellStyle name="Итог 79" xfId="25038" xr:uid="{00000000-0005-0000-0000-0000C7650000}"/>
    <cellStyle name="Итог 8" xfId="25039" xr:uid="{00000000-0005-0000-0000-0000C8650000}"/>
    <cellStyle name="Итог 8 2" xfId="25040" xr:uid="{00000000-0005-0000-0000-0000C9650000}"/>
    <cellStyle name="Итог 8 3" xfId="25041" xr:uid="{00000000-0005-0000-0000-0000CA650000}"/>
    <cellStyle name="Итог 8 4" xfId="25042" xr:uid="{00000000-0005-0000-0000-0000CB650000}"/>
    <cellStyle name="Итог 8 5" xfId="25043" xr:uid="{00000000-0005-0000-0000-0000CC650000}"/>
    <cellStyle name="Итог 8 6" xfId="25044" xr:uid="{00000000-0005-0000-0000-0000CD650000}"/>
    <cellStyle name="Итог 80" xfId="25045" xr:uid="{00000000-0005-0000-0000-0000CE650000}"/>
    <cellStyle name="Итог 81" xfId="25046" xr:uid="{00000000-0005-0000-0000-0000CF650000}"/>
    <cellStyle name="Итог 82" xfId="25047" xr:uid="{00000000-0005-0000-0000-0000D0650000}"/>
    <cellStyle name="Итог 83" xfId="25048" xr:uid="{00000000-0005-0000-0000-0000D1650000}"/>
    <cellStyle name="Итог 84" xfId="25049" xr:uid="{00000000-0005-0000-0000-0000D2650000}"/>
    <cellStyle name="Итог 85" xfId="25050" xr:uid="{00000000-0005-0000-0000-0000D3650000}"/>
    <cellStyle name="Итог 86" xfId="25051" xr:uid="{00000000-0005-0000-0000-0000D4650000}"/>
    <cellStyle name="Итог 87" xfId="25052" xr:uid="{00000000-0005-0000-0000-0000D5650000}"/>
    <cellStyle name="Итог 88" xfId="25053" xr:uid="{00000000-0005-0000-0000-0000D6650000}"/>
    <cellStyle name="Итог 89" xfId="25054" xr:uid="{00000000-0005-0000-0000-0000D7650000}"/>
    <cellStyle name="Итог 9" xfId="25055" xr:uid="{00000000-0005-0000-0000-0000D8650000}"/>
    <cellStyle name="Итог 9 2" xfId="25056" xr:uid="{00000000-0005-0000-0000-0000D9650000}"/>
    <cellStyle name="Итог 9 3" xfId="25057" xr:uid="{00000000-0005-0000-0000-0000DA650000}"/>
    <cellStyle name="Итог 9 4" xfId="25058" xr:uid="{00000000-0005-0000-0000-0000DB650000}"/>
    <cellStyle name="Итог 9 5" xfId="25059" xr:uid="{00000000-0005-0000-0000-0000DC650000}"/>
    <cellStyle name="Итог 9 6" xfId="25060" xr:uid="{00000000-0005-0000-0000-0000DD650000}"/>
    <cellStyle name="Итог 90" xfId="25061" xr:uid="{00000000-0005-0000-0000-0000DE650000}"/>
    <cellStyle name="Итог 91" xfId="25062" xr:uid="{00000000-0005-0000-0000-0000DF650000}"/>
    <cellStyle name="Итог 92" xfId="25063" xr:uid="{00000000-0005-0000-0000-0000E0650000}"/>
    <cellStyle name="Итог 93" xfId="25064" xr:uid="{00000000-0005-0000-0000-0000E1650000}"/>
    <cellStyle name="Итог 94" xfId="25065" xr:uid="{00000000-0005-0000-0000-0000E2650000}"/>
    <cellStyle name="Итог 95" xfId="25066" xr:uid="{00000000-0005-0000-0000-0000E3650000}"/>
    <cellStyle name="Итог 96" xfId="25067" xr:uid="{00000000-0005-0000-0000-0000E4650000}"/>
    <cellStyle name="Итог 97" xfId="25068" xr:uid="{00000000-0005-0000-0000-0000E5650000}"/>
    <cellStyle name="Итог 98" xfId="25069" xr:uid="{00000000-0005-0000-0000-0000E6650000}"/>
    <cellStyle name="Итог 99" xfId="25070" xr:uid="{00000000-0005-0000-0000-0000E7650000}"/>
    <cellStyle name="Контрольная ячейка 10" xfId="25072" xr:uid="{00000000-0005-0000-0000-0000E8650000}"/>
    <cellStyle name="Контрольная ячейка 10 2" xfId="25073" xr:uid="{00000000-0005-0000-0000-0000E9650000}"/>
    <cellStyle name="Контрольная ячейка 100" xfId="25074" xr:uid="{00000000-0005-0000-0000-0000EA650000}"/>
    <cellStyle name="Контрольная ячейка 101" xfId="25075" xr:uid="{00000000-0005-0000-0000-0000EB650000}"/>
    <cellStyle name="Контрольная ячейка 102" xfId="25076" xr:uid="{00000000-0005-0000-0000-0000EC650000}"/>
    <cellStyle name="Контрольная ячейка 103" xfId="25077" xr:uid="{00000000-0005-0000-0000-0000ED650000}"/>
    <cellStyle name="Контрольная ячейка 104" xfId="25078" xr:uid="{00000000-0005-0000-0000-0000EE650000}"/>
    <cellStyle name="Контрольная ячейка 105" xfId="25079" xr:uid="{00000000-0005-0000-0000-0000EF650000}"/>
    <cellStyle name="Контрольная ячейка 106" xfId="25080" xr:uid="{00000000-0005-0000-0000-0000F0650000}"/>
    <cellStyle name="Контрольная ячейка 107" xfId="25081" xr:uid="{00000000-0005-0000-0000-0000F1650000}"/>
    <cellStyle name="Контрольная ячейка 108" xfId="25082" xr:uid="{00000000-0005-0000-0000-0000F2650000}"/>
    <cellStyle name="Контрольная ячейка 109" xfId="25083" xr:uid="{00000000-0005-0000-0000-0000F3650000}"/>
    <cellStyle name="Контрольная ячейка 11" xfId="25084" xr:uid="{00000000-0005-0000-0000-0000F4650000}"/>
    <cellStyle name="Контрольная ячейка 11 2" xfId="25085" xr:uid="{00000000-0005-0000-0000-0000F5650000}"/>
    <cellStyle name="Контрольная ячейка 11 3" xfId="26829" xr:uid="{00000000-0005-0000-0000-0000F6650000}"/>
    <cellStyle name="Контрольная ячейка 110" xfId="25086" xr:uid="{00000000-0005-0000-0000-0000F7650000}"/>
    <cellStyle name="Контрольная ячейка 111" xfId="25087" xr:uid="{00000000-0005-0000-0000-0000F8650000}"/>
    <cellStyle name="Контрольная ячейка 112" xfId="25088" xr:uid="{00000000-0005-0000-0000-0000F9650000}"/>
    <cellStyle name="Контрольная ячейка 113" xfId="25089" xr:uid="{00000000-0005-0000-0000-0000FA650000}"/>
    <cellStyle name="Контрольная ячейка 114" xfId="25090" xr:uid="{00000000-0005-0000-0000-0000FB650000}"/>
    <cellStyle name="Контрольная ячейка 115" xfId="25091" xr:uid="{00000000-0005-0000-0000-0000FC650000}"/>
    <cellStyle name="Контрольная ячейка 116" xfId="25092" xr:uid="{00000000-0005-0000-0000-0000FD650000}"/>
    <cellStyle name="Контрольная ячейка 117" xfId="25093" xr:uid="{00000000-0005-0000-0000-0000FE650000}"/>
    <cellStyle name="Контрольная ячейка 118" xfId="25094" xr:uid="{00000000-0005-0000-0000-0000FF650000}"/>
    <cellStyle name="Контрольная ячейка 119" xfId="25095" xr:uid="{00000000-0005-0000-0000-000000660000}"/>
    <cellStyle name="Контрольная ячейка 12" xfId="25096" xr:uid="{00000000-0005-0000-0000-000001660000}"/>
    <cellStyle name="Контрольная ячейка 12 2" xfId="26865" xr:uid="{00000000-0005-0000-0000-000002660000}"/>
    <cellStyle name="Контрольная ячейка 120" xfId="25097" xr:uid="{00000000-0005-0000-0000-000003660000}"/>
    <cellStyle name="Контрольная ячейка 121" xfId="25098" xr:uid="{00000000-0005-0000-0000-000004660000}"/>
    <cellStyle name="Контрольная ячейка 122" xfId="25099" xr:uid="{00000000-0005-0000-0000-000005660000}"/>
    <cellStyle name="Контрольная ячейка 123" xfId="25100" xr:uid="{00000000-0005-0000-0000-000006660000}"/>
    <cellStyle name="Контрольная ячейка 124" xfId="25101" xr:uid="{00000000-0005-0000-0000-000007660000}"/>
    <cellStyle name="Контрольная ячейка 125" xfId="25102" xr:uid="{00000000-0005-0000-0000-000008660000}"/>
    <cellStyle name="Контрольная ячейка 126" xfId="25103" xr:uid="{00000000-0005-0000-0000-000009660000}"/>
    <cellStyle name="Контрольная ячейка 127" xfId="25104" xr:uid="{00000000-0005-0000-0000-00000A660000}"/>
    <cellStyle name="Контрольная ячейка 128" xfId="25105" xr:uid="{00000000-0005-0000-0000-00000B660000}"/>
    <cellStyle name="Контрольная ячейка 129" xfId="25106" xr:uid="{00000000-0005-0000-0000-00000C660000}"/>
    <cellStyle name="Контрольная ячейка 13" xfId="25107" xr:uid="{00000000-0005-0000-0000-00000D660000}"/>
    <cellStyle name="Контрольная ячейка 13 2" xfId="26880" xr:uid="{00000000-0005-0000-0000-00000E660000}"/>
    <cellStyle name="Контрольная ячейка 130" xfId="25108" xr:uid="{00000000-0005-0000-0000-00000F660000}"/>
    <cellStyle name="Контрольная ячейка 131" xfId="25109" xr:uid="{00000000-0005-0000-0000-000010660000}"/>
    <cellStyle name="Контрольная ячейка 132" xfId="25110" xr:uid="{00000000-0005-0000-0000-000011660000}"/>
    <cellStyle name="Контрольная ячейка 133" xfId="25111" xr:uid="{00000000-0005-0000-0000-000012660000}"/>
    <cellStyle name="Контрольная ячейка 134" xfId="25112" xr:uid="{00000000-0005-0000-0000-000013660000}"/>
    <cellStyle name="Контрольная ячейка 135" xfId="25113" xr:uid="{00000000-0005-0000-0000-000014660000}"/>
    <cellStyle name="Контрольная ячейка 136" xfId="25114" xr:uid="{00000000-0005-0000-0000-000015660000}"/>
    <cellStyle name="Контрольная ячейка 137" xfId="25115" xr:uid="{00000000-0005-0000-0000-000016660000}"/>
    <cellStyle name="Контрольная ячейка 138" xfId="25116" xr:uid="{00000000-0005-0000-0000-000017660000}"/>
    <cellStyle name="Контрольная ячейка 139" xfId="25117" xr:uid="{00000000-0005-0000-0000-000018660000}"/>
    <cellStyle name="Контрольная ячейка 14" xfId="25118" xr:uid="{00000000-0005-0000-0000-000019660000}"/>
    <cellStyle name="Контрольная ячейка 14 2" xfId="26853" xr:uid="{00000000-0005-0000-0000-00001A660000}"/>
    <cellStyle name="Контрольная ячейка 140" xfId="25119" xr:uid="{00000000-0005-0000-0000-00001B660000}"/>
    <cellStyle name="Контрольная ячейка 141" xfId="25120" xr:uid="{00000000-0005-0000-0000-00001C660000}"/>
    <cellStyle name="Контрольная ячейка 142" xfId="25121" xr:uid="{00000000-0005-0000-0000-00001D660000}"/>
    <cellStyle name="Контрольная ячейка 143" xfId="25122" xr:uid="{00000000-0005-0000-0000-00001E660000}"/>
    <cellStyle name="Контрольная ячейка 144" xfId="25123" xr:uid="{00000000-0005-0000-0000-00001F660000}"/>
    <cellStyle name="Контрольная ячейка 145" xfId="25124" xr:uid="{00000000-0005-0000-0000-000020660000}"/>
    <cellStyle name="Контрольная ячейка 146" xfId="25125" xr:uid="{00000000-0005-0000-0000-000021660000}"/>
    <cellStyle name="Контрольная ячейка 147" xfId="25126" xr:uid="{00000000-0005-0000-0000-000022660000}"/>
    <cellStyle name="Контрольная ячейка 148" xfId="25127" xr:uid="{00000000-0005-0000-0000-000023660000}"/>
    <cellStyle name="Контрольная ячейка 149" xfId="25128" xr:uid="{00000000-0005-0000-0000-000024660000}"/>
    <cellStyle name="Контрольная ячейка 15" xfId="25129" xr:uid="{00000000-0005-0000-0000-000025660000}"/>
    <cellStyle name="Контрольная ячейка 15 2" xfId="26912" xr:uid="{00000000-0005-0000-0000-000026660000}"/>
    <cellStyle name="Контрольная ячейка 150" xfId="25130" xr:uid="{00000000-0005-0000-0000-000027660000}"/>
    <cellStyle name="Контрольная ячейка 151" xfId="25131" xr:uid="{00000000-0005-0000-0000-000028660000}"/>
    <cellStyle name="Контрольная ячейка 152" xfId="25132" xr:uid="{00000000-0005-0000-0000-000029660000}"/>
    <cellStyle name="Контрольная ячейка 153" xfId="25133" xr:uid="{00000000-0005-0000-0000-00002A660000}"/>
    <cellStyle name="Контрольная ячейка 154" xfId="25134" xr:uid="{00000000-0005-0000-0000-00002B660000}"/>
    <cellStyle name="Контрольная ячейка 155" xfId="25135" xr:uid="{00000000-0005-0000-0000-00002C660000}"/>
    <cellStyle name="Контрольная ячейка 156" xfId="25136" xr:uid="{00000000-0005-0000-0000-00002D660000}"/>
    <cellStyle name="Контрольная ячейка 157" xfId="25137" xr:uid="{00000000-0005-0000-0000-00002E660000}"/>
    <cellStyle name="Контрольная ячейка 158" xfId="25138" xr:uid="{00000000-0005-0000-0000-00002F660000}"/>
    <cellStyle name="Контрольная ячейка 159" xfId="25139" xr:uid="{00000000-0005-0000-0000-000030660000}"/>
    <cellStyle name="Контрольная ячейка 16" xfId="25140" xr:uid="{00000000-0005-0000-0000-000031660000}"/>
    <cellStyle name="Контрольная ячейка 16 2" xfId="26928" xr:uid="{00000000-0005-0000-0000-000032660000}"/>
    <cellStyle name="Контрольная ячейка 160" xfId="25141" xr:uid="{00000000-0005-0000-0000-000033660000}"/>
    <cellStyle name="Контрольная ячейка 161" xfId="25142" xr:uid="{00000000-0005-0000-0000-000034660000}"/>
    <cellStyle name="Контрольная ячейка 162" xfId="25143" xr:uid="{00000000-0005-0000-0000-000035660000}"/>
    <cellStyle name="Контрольная ячейка 163" xfId="25144" xr:uid="{00000000-0005-0000-0000-000036660000}"/>
    <cellStyle name="Контрольная ячейка 164" xfId="25145" xr:uid="{00000000-0005-0000-0000-000037660000}"/>
    <cellStyle name="Контрольная ячейка 165" xfId="25146" xr:uid="{00000000-0005-0000-0000-000038660000}"/>
    <cellStyle name="Контрольная ячейка 166" xfId="25147" xr:uid="{00000000-0005-0000-0000-000039660000}"/>
    <cellStyle name="Контрольная ячейка 167" xfId="25148" xr:uid="{00000000-0005-0000-0000-00003A660000}"/>
    <cellStyle name="Контрольная ячейка 168" xfId="25149" xr:uid="{00000000-0005-0000-0000-00003B660000}"/>
    <cellStyle name="Контрольная ячейка 169" xfId="25150" xr:uid="{00000000-0005-0000-0000-00003C660000}"/>
    <cellStyle name="Контрольная ячейка 17" xfId="25151" xr:uid="{00000000-0005-0000-0000-00003D660000}"/>
    <cellStyle name="Контрольная ячейка 17 2" xfId="26901" xr:uid="{00000000-0005-0000-0000-00003E660000}"/>
    <cellStyle name="Контрольная ячейка 170" xfId="25152" xr:uid="{00000000-0005-0000-0000-00003F660000}"/>
    <cellStyle name="Контрольная ячейка 171" xfId="25153" xr:uid="{00000000-0005-0000-0000-000040660000}"/>
    <cellStyle name="Контрольная ячейка 172" xfId="25154" xr:uid="{00000000-0005-0000-0000-000041660000}"/>
    <cellStyle name="Контрольная ячейка 173" xfId="25071" xr:uid="{00000000-0005-0000-0000-000042660000}"/>
    <cellStyle name="Контрольная ячейка 18" xfId="25155" xr:uid="{00000000-0005-0000-0000-000043660000}"/>
    <cellStyle name="Контрольная ячейка 18 2" xfId="26964" xr:uid="{00000000-0005-0000-0000-000044660000}"/>
    <cellStyle name="Контрольная ячейка 19" xfId="25156" xr:uid="{00000000-0005-0000-0000-000045660000}"/>
    <cellStyle name="Контрольная ячейка 19 2" xfId="26982" xr:uid="{00000000-0005-0000-0000-000046660000}"/>
    <cellStyle name="Контрольная ячейка 2" xfId="25157" xr:uid="{00000000-0005-0000-0000-000047660000}"/>
    <cellStyle name="Контрольная ячейка 2 2" xfId="25158" xr:uid="{00000000-0005-0000-0000-000048660000}"/>
    <cellStyle name="Контрольная ячейка 2 3" xfId="25159" xr:uid="{00000000-0005-0000-0000-000049660000}"/>
    <cellStyle name="Контрольная ячейка 2 4" xfId="28138" xr:uid="{00000000-0005-0000-0000-00004A660000}"/>
    <cellStyle name="Контрольная ячейка 20" xfId="25160" xr:uid="{00000000-0005-0000-0000-00004B660000}"/>
    <cellStyle name="Контрольная ячейка 20 2" xfId="26952" xr:uid="{00000000-0005-0000-0000-00004C660000}"/>
    <cellStyle name="Контрольная ячейка 21" xfId="25161" xr:uid="{00000000-0005-0000-0000-00004D660000}"/>
    <cellStyle name="Контрольная ячейка 21 2" xfId="26994" xr:uid="{00000000-0005-0000-0000-00004E660000}"/>
    <cellStyle name="Контрольная ячейка 22" xfId="25162" xr:uid="{00000000-0005-0000-0000-00004F660000}"/>
    <cellStyle name="Контрольная ячейка 22 2" xfId="27009" xr:uid="{00000000-0005-0000-0000-000050660000}"/>
    <cellStyle name="Контрольная ячейка 23" xfId="25163" xr:uid="{00000000-0005-0000-0000-000051660000}"/>
    <cellStyle name="Контрольная ячейка 23 2" xfId="27021" xr:uid="{00000000-0005-0000-0000-000052660000}"/>
    <cellStyle name="Контрольная ячейка 24" xfId="25164" xr:uid="{00000000-0005-0000-0000-000053660000}"/>
    <cellStyle name="Контрольная ячейка 24 2" xfId="27057" xr:uid="{00000000-0005-0000-0000-000054660000}"/>
    <cellStyle name="Контрольная ячейка 25" xfId="25165" xr:uid="{00000000-0005-0000-0000-000055660000}"/>
    <cellStyle name="Контрольная ячейка 25 2" xfId="27074" xr:uid="{00000000-0005-0000-0000-000056660000}"/>
    <cellStyle name="Контрольная ячейка 26" xfId="25166" xr:uid="{00000000-0005-0000-0000-000057660000}"/>
    <cellStyle name="Контрольная ячейка 26 2" xfId="27046" xr:uid="{00000000-0005-0000-0000-000058660000}"/>
    <cellStyle name="Контрольная ячейка 27" xfId="25167" xr:uid="{00000000-0005-0000-0000-000059660000}"/>
    <cellStyle name="Контрольная ячейка 27 2" xfId="27085" xr:uid="{00000000-0005-0000-0000-00005A660000}"/>
    <cellStyle name="Контрольная ячейка 28" xfId="25168" xr:uid="{00000000-0005-0000-0000-00005B660000}"/>
    <cellStyle name="Контрольная ячейка 28 2" xfId="27123" xr:uid="{00000000-0005-0000-0000-00005C660000}"/>
    <cellStyle name="Контрольная ячейка 29" xfId="25169" xr:uid="{00000000-0005-0000-0000-00005D660000}"/>
    <cellStyle name="Контрольная ячейка 29 2" xfId="27139" xr:uid="{00000000-0005-0000-0000-00005E660000}"/>
    <cellStyle name="Контрольная ячейка 3" xfId="25170" xr:uid="{00000000-0005-0000-0000-00005F660000}"/>
    <cellStyle name="Контрольная ячейка 3 2" xfId="25171" xr:uid="{00000000-0005-0000-0000-000060660000}"/>
    <cellStyle name="Контрольная ячейка 3 3" xfId="25172" xr:uid="{00000000-0005-0000-0000-000061660000}"/>
    <cellStyle name="Контрольная ячейка 30" xfId="25173" xr:uid="{00000000-0005-0000-0000-000062660000}"/>
    <cellStyle name="Контрольная ячейка 30 2" xfId="27111" xr:uid="{00000000-0005-0000-0000-000063660000}"/>
    <cellStyle name="Контрольная ячейка 31" xfId="25174" xr:uid="{00000000-0005-0000-0000-000064660000}"/>
    <cellStyle name="Контрольная ячейка 31 2" xfId="27162" xr:uid="{00000000-0005-0000-0000-000065660000}"/>
    <cellStyle name="Контрольная ячейка 32" xfId="25175" xr:uid="{00000000-0005-0000-0000-000066660000}"/>
    <cellStyle name="Контрольная ячейка 32 2" xfId="27179" xr:uid="{00000000-0005-0000-0000-000067660000}"/>
    <cellStyle name="Контрольная ячейка 33" xfId="25176" xr:uid="{00000000-0005-0000-0000-000068660000}"/>
    <cellStyle name="Контрольная ячейка 33 2" xfId="27205" xr:uid="{00000000-0005-0000-0000-000069660000}"/>
    <cellStyle name="Контрольная ячейка 34" xfId="25177" xr:uid="{00000000-0005-0000-0000-00006A660000}"/>
    <cellStyle name="Контрольная ячейка 34 2" xfId="27221" xr:uid="{00000000-0005-0000-0000-00006B660000}"/>
    <cellStyle name="Контрольная ячейка 35" xfId="25178" xr:uid="{00000000-0005-0000-0000-00006C660000}"/>
    <cellStyle name="Контрольная ячейка 35 2" xfId="27242" xr:uid="{00000000-0005-0000-0000-00006D660000}"/>
    <cellStyle name="Контрольная ячейка 36" xfId="25179" xr:uid="{00000000-0005-0000-0000-00006E660000}"/>
    <cellStyle name="Контрольная ячейка 36 2" xfId="27281" xr:uid="{00000000-0005-0000-0000-00006F660000}"/>
    <cellStyle name="Контрольная ячейка 37" xfId="25180" xr:uid="{00000000-0005-0000-0000-000070660000}"/>
    <cellStyle name="Контрольная ячейка 37 2" xfId="27309" xr:uid="{00000000-0005-0000-0000-000071660000}"/>
    <cellStyle name="Контрольная ячейка 38" xfId="25181" xr:uid="{00000000-0005-0000-0000-000072660000}"/>
    <cellStyle name="Контрольная ячейка 38 2" xfId="27268" xr:uid="{00000000-0005-0000-0000-000073660000}"/>
    <cellStyle name="Контрольная ячейка 39" xfId="25182" xr:uid="{00000000-0005-0000-0000-000074660000}"/>
    <cellStyle name="Контрольная ячейка 39 2" xfId="27321" xr:uid="{00000000-0005-0000-0000-000075660000}"/>
    <cellStyle name="Контрольная ячейка 4" xfId="25183" xr:uid="{00000000-0005-0000-0000-000076660000}"/>
    <cellStyle name="Контрольная ячейка 4 2" xfId="25184" xr:uid="{00000000-0005-0000-0000-000077660000}"/>
    <cellStyle name="Контрольная ячейка 40" xfId="25185" xr:uid="{00000000-0005-0000-0000-000078660000}"/>
    <cellStyle name="Контрольная ячейка 40 2" xfId="27373" xr:uid="{00000000-0005-0000-0000-000079660000}"/>
    <cellStyle name="Контрольная ячейка 41" xfId="25186" xr:uid="{00000000-0005-0000-0000-00007A660000}"/>
    <cellStyle name="Контрольная ячейка 41 2" xfId="27376" xr:uid="{00000000-0005-0000-0000-00007B660000}"/>
    <cellStyle name="Контрольная ячейка 42" xfId="25187" xr:uid="{00000000-0005-0000-0000-00007C660000}"/>
    <cellStyle name="Контрольная ячейка 42 2" xfId="27348" xr:uid="{00000000-0005-0000-0000-00007D660000}"/>
    <cellStyle name="Контрольная ячейка 43" xfId="25188" xr:uid="{00000000-0005-0000-0000-00007E660000}"/>
    <cellStyle name="Контрольная ячейка 43 2" xfId="27399" xr:uid="{00000000-0005-0000-0000-00007F660000}"/>
    <cellStyle name="Контрольная ячейка 44" xfId="25189" xr:uid="{00000000-0005-0000-0000-000080660000}"/>
    <cellStyle name="Контрольная ячейка 44 2" xfId="27439" xr:uid="{00000000-0005-0000-0000-000081660000}"/>
    <cellStyle name="Контрольная ячейка 45" xfId="25190" xr:uid="{00000000-0005-0000-0000-000082660000}"/>
    <cellStyle name="Контрольная ячейка 45 2" xfId="27476" xr:uid="{00000000-0005-0000-0000-000083660000}"/>
    <cellStyle name="Контрольная ячейка 46" xfId="25191" xr:uid="{00000000-0005-0000-0000-000084660000}"/>
    <cellStyle name="Контрольная ячейка 46 2" xfId="27499" xr:uid="{00000000-0005-0000-0000-000085660000}"/>
    <cellStyle name="Контрольная ячейка 47" xfId="25192" xr:uid="{00000000-0005-0000-0000-000086660000}"/>
    <cellStyle name="Контрольная ячейка 47 2" xfId="27460" xr:uid="{00000000-0005-0000-0000-000087660000}"/>
    <cellStyle name="Контрольная ячейка 48" xfId="25193" xr:uid="{00000000-0005-0000-0000-000088660000}"/>
    <cellStyle name="Контрольная ячейка 48 2" xfId="27512" xr:uid="{00000000-0005-0000-0000-000089660000}"/>
    <cellStyle name="Контрольная ячейка 49" xfId="25194" xr:uid="{00000000-0005-0000-0000-00008A660000}"/>
    <cellStyle name="Контрольная ячейка 49 2" xfId="27563" xr:uid="{00000000-0005-0000-0000-00008B660000}"/>
    <cellStyle name="Контрольная ячейка 5" xfId="25195" xr:uid="{00000000-0005-0000-0000-00008C660000}"/>
    <cellStyle name="Контрольная ячейка 5 2" xfId="25196" xr:uid="{00000000-0005-0000-0000-00008D660000}"/>
    <cellStyle name="Контрольная ячейка 50" xfId="25197" xr:uid="{00000000-0005-0000-0000-00008E660000}"/>
    <cellStyle name="Контрольная ячейка 50 2" xfId="27585" xr:uid="{00000000-0005-0000-0000-00008F660000}"/>
    <cellStyle name="Контрольная ячейка 51" xfId="25198" xr:uid="{00000000-0005-0000-0000-000090660000}"/>
    <cellStyle name="Контрольная ячейка 51 2" xfId="27546" xr:uid="{00000000-0005-0000-0000-000091660000}"/>
    <cellStyle name="Контрольная ячейка 52" xfId="25199" xr:uid="{00000000-0005-0000-0000-000092660000}"/>
    <cellStyle name="Контрольная ячейка 52 2" xfId="27602" xr:uid="{00000000-0005-0000-0000-000093660000}"/>
    <cellStyle name="Контрольная ячейка 53" xfId="25200" xr:uid="{00000000-0005-0000-0000-000094660000}"/>
    <cellStyle name="Контрольная ячейка 53 2" xfId="27600" xr:uid="{00000000-0005-0000-0000-000095660000}"/>
    <cellStyle name="Контрольная ячейка 54" xfId="25201" xr:uid="{00000000-0005-0000-0000-000096660000}"/>
    <cellStyle name="Контрольная ячейка 54 2" xfId="27675" xr:uid="{00000000-0005-0000-0000-000097660000}"/>
    <cellStyle name="Контрольная ячейка 55" xfId="25202" xr:uid="{00000000-0005-0000-0000-000098660000}"/>
    <cellStyle name="Контрольная ячейка 55 2" xfId="27702" xr:uid="{00000000-0005-0000-0000-000099660000}"/>
    <cellStyle name="Контрольная ячейка 56" xfId="25203" xr:uid="{00000000-0005-0000-0000-00009A660000}"/>
    <cellStyle name="Контрольная ячейка 56 2" xfId="27659" xr:uid="{00000000-0005-0000-0000-00009B660000}"/>
    <cellStyle name="Контрольная ячейка 57" xfId="25204" xr:uid="{00000000-0005-0000-0000-00009C660000}"/>
    <cellStyle name="Контрольная ячейка 57 2" xfId="27715" xr:uid="{00000000-0005-0000-0000-00009D660000}"/>
    <cellStyle name="Контрольная ячейка 58" xfId="25205" xr:uid="{00000000-0005-0000-0000-00009E660000}"/>
    <cellStyle name="Контрольная ячейка 58 2" xfId="27729" xr:uid="{00000000-0005-0000-0000-00009F660000}"/>
    <cellStyle name="Контрольная ячейка 59" xfId="25206" xr:uid="{00000000-0005-0000-0000-0000A0660000}"/>
    <cellStyle name="Контрольная ячейка 59 2" xfId="27762" xr:uid="{00000000-0005-0000-0000-0000A1660000}"/>
    <cellStyle name="Контрольная ячейка 6" xfId="25207" xr:uid="{00000000-0005-0000-0000-0000A2660000}"/>
    <cellStyle name="Контрольная ячейка 6 2" xfId="25208" xr:uid="{00000000-0005-0000-0000-0000A3660000}"/>
    <cellStyle name="Контрольная ячейка 60" xfId="25209" xr:uid="{00000000-0005-0000-0000-0000A4660000}"/>
    <cellStyle name="Контрольная ячейка 61" xfId="25210" xr:uid="{00000000-0005-0000-0000-0000A5660000}"/>
    <cellStyle name="Контрольная ячейка 62" xfId="25211" xr:uid="{00000000-0005-0000-0000-0000A6660000}"/>
    <cellStyle name="Контрольная ячейка 63" xfId="25212" xr:uid="{00000000-0005-0000-0000-0000A7660000}"/>
    <cellStyle name="Контрольная ячейка 64" xfId="25213" xr:uid="{00000000-0005-0000-0000-0000A8660000}"/>
    <cellStyle name="Контрольная ячейка 65" xfId="25214" xr:uid="{00000000-0005-0000-0000-0000A9660000}"/>
    <cellStyle name="Контрольная ячейка 66" xfId="25215" xr:uid="{00000000-0005-0000-0000-0000AA660000}"/>
    <cellStyle name="Контрольная ячейка 67" xfId="25216" xr:uid="{00000000-0005-0000-0000-0000AB660000}"/>
    <cellStyle name="Контрольная ячейка 68" xfId="25217" xr:uid="{00000000-0005-0000-0000-0000AC660000}"/>
    <cellStyle name="Контрольная ячейка 69" xfId="25218" xr:uid="{00000000-0005-0000-0000-0000AD660000}"/>
    <cellStyle name="Контрольная ячейка 7" xfId="25219" xr:uid="{00000000-0005-0000-0000-0000AE660000}"/>
    <cellStyle name="Контрольная ячейка 7 2" xfId="25220" xr:uid="{00000000-0005-0000-0000-0000AF660000}"/>
    <cellStyle name="Контрольная ячейка 70" xfId="25221" xr:uid="{00000000-0005-0000-0000-0000B0660000}"/>
    <cellStyle name="Контрольная ячейка 71" xfId="25222" xr:uid="{00000000-0005-0000-0000-0000B1660000}"/>
    <cellStyle name="Контрольная ячейка 72" xfId="25223" xr:uid="{00000000-0005-0000-0000-0000B2660000}"/>
    <cellStyle name="Контрольная ячейка 73" xfId="25224" xr:uid="{00000000-0005-0000-0000-0000B3660000}"/>
    <cellStyle name="Контрольная ячейка 74" xfId="25225" xr:uid="{00000000-0005-0000-0000-0000B4660000}"/>
    <cellStyle name="Контрольная ячейка 75" xfId="25226" xr:uid="{00000000-0005-0000-0000-0000B5660000}"/>
    <cellStyle name="Контрольная ячейка 76" xfId="25227" xr:uid="{00000000-0005-0000-0000-0000B6660000}"/>
    <cellStyle name="Контрольная ячейка 77" xfId="25228" xr:uid="{00000000-0005-0000-0000-0000B7660000}"/>
    <cellStyle name="Контрольная ячейка 78" xfId="25229" xr:uid="{00000000-0005-0000-0000-0000B8660000}"/>
    <cellStyle name="Контрольная ячейка 79" xfId="25230" xr:uid="{00000000-0005-0000-0000-0000B9660000}"/>
    <cellStyle name="Контрольная ячейка 8" xfId="25231" xr:uid="{00000000-0005-0000-0000-0000BA660000}"/>
    <cellStyle name="Контрольная ячейка 8 2" xfId="25232" xr:uid="{00000000-0005-0000-0000-0000BB660000}"/>
    <cellStyle name="Контрольная ячейка 80" xfId="25233" xr:uid="{00000000-0005-0000-0000-0000BC660000}"/>
    <cellStyle name="Контрольная ячейка 81" xfId="25234" xr:uid="{00000000-0005-0000-0000-0000BD660000}"/>
    <cellStyle name="Контрольная ячейка 82" xfId="25235" xr:uid="{00000000-0005-0000-0000-0000BE660000}"/>
    <cellStyle name="Контрольная ячейка 83" xfId="25236" xr:uid="{00000000-0005-0000-0000-0000BF660000}"/>
    <cellStyle name="Контрольная ячейка 84" xfId="25237" xr:uid="{00000000-0005-0000-0000-0000C0660000}"/>
    <cellStyle name="Контрольная ячейка 85" xfId="25238" xr:uid="{00000000-0005-0000-0000-0000C1660000}"/>
    <cellStyle name="Контрольная ячейка 86" xfId="25239" xr:uid="{00000000-0005-0000-0000-0000C2660000}"/>
    <cellStyle name="Контрольная ячейка 87" xfId="25240" xr:uid="{00000000-0005-0000-0000-0000C3660000}"/>
    <cellStyle name="Контрольная ячейка 88" xfId="25241" xr:uid="{00000000-0005-0000-0000-0000C4660000}"/>
    <cellStyle name="Контрольная ячейка 89" xfId="25242" xr:uid="{00000000-0005-0000-0000-0000C5660000}"/>
    <cellStyle name="Контрольная ячейка 9" xfId="25243" xr:uid="{00000000-0005-0000-0000-0000C6660000}"/>
    <cellStyle name="Контрольная ячейка 9 2" xfId="25244" xr:uid="{00000000-0005-0000-0000-0000C7660000}"/>
    <cellStyle name="Контрольная ячейка 90" xfId="25245" xr:uid="{00000000-0005-0000-0000-0000C8660000}"/>
    <cellStyle name="Контрольная ячейка 91" xfId="25246" xr:uid="{00000000-0005-0000-0000-0000C9660000}"/>
    <cellStyle name="Контрольная ячейка 92" xfId="25247" xr:uid="{00000000-0005-0000-0000-0000CA660000}"/>
    <cellStyle name="Контрольная ячейка 93" xfId="25248" xr:uid="{00000000-0005-0000-0000-0000CB660000}"/>
    <cellStyle name="Контрольная ячейка 94" xfId="25249" xr:uid="{00000000-0005-0000-0000-0000CC660000}"/>
    <cellStyle name="Контрольная ячейка 95" xfId="25250" xr:uid="{00000000-0005-0000-0000-0000CD660000}"/>
    <cellStyle name="Контрольная ячейка 96" xfId="25251" xr:uid="{00000000-0005-0000-0000-0000CE660000}"/>
    <cellStyle name="Контрольная ячейка 97" xfId="25252" xr:uid="{00000000-0005-0000-0000-0000CF660000}"/>
    <cellStyle name="Контрольная ячейка 98" xfId="25253" xr:uid="{00000000-0005-0000-0000-0000D0660000}"/>
    <cellStyle name="Контрольная ячейка 99" xfId="25254" xr:uid="{00000000-0005-0000-0000-0000D1660000}"/>
    <cellStyle name="мое" xfId="25255" xr:uid="{00000000-0005-0000-0000-0000D2660000}"/>
    <cellStyle name="Название 2" xfId="25256" xr:uid="{00000000-0005-0000-0000-0000D3660000}"/>
    <cellStyle name="Нейтральный 10" xfId="25258" xr:uid="{00000000-0005-0000-0000-0000D4660000}"/>
    <cellStyle name="Нейтральный 10 2" xfId="25259" xr:uid="{00000000-0005-0000-0000-0000D5660000}"/>
    <cellStyle name="Нейтральный 100" xfId="25260" xr:uid="{00000000-0005-0000-0000-0000D6660000}"/>
    <cellStyle name="Нейтральный 101" xfId="25261" xr:uid="{00000000-0005-0000-0000-0000D7660000}"/>
    <cellStyle name="Нейтральный 102" xfId="25262" xr:uid="{00000000-0005-0000-0000-0000D8660000}"/>
    <cellStyle name="Нейтральный 103" xfId="25263" xr:uid="{00000000-0005-0000-0000-0000D9660000}"/>
    <cellStyle name="Нейтральный 104" xfId="25264" xr:uid="{00000000-0005-0000-0000-0000DA660000}"/>
    <cellStyle name="Нейтральный 105" xfId="25265" xr:uid="{00000000-0005-0000-0000-0000DB660000}"/>
    <cellStyle name="Нейтральный 106" xfId="25266" xr:uid="{00000000-0005-0000-0000-0000DC660000}"/>
    <cellStyle name="Нейтральный 107" xfId="25267" xr:uid="{00000000-0005-0000-0000-0000DD660000}"/>
    <cellStyle name="Нейтральный 108" xfId="25268" xr:uid="{00000000-0005-0000-0000-0000DE660000}"/>
    <cellStyle name="Нейтральный 109" xfId="25269" xr:uid="{00000000-0005-0000-0000-0000DF660000}"/>
    <cellStyle name="Нейтральный 11" xfId="25270" xr:uid="{00000000-0005-0000-0000-0000E0660000}"/>
    <cellStyle name="Нейтральный 11 2" xfId="25271" xr:uid="{00000000-0005-0000-0000-0000E1660000}"/>
    <cellStyle name="Нейтральный 11 3" xfId="26841" xr:uid="{00000000-0005-0000-0000-0000E2660000}"/>
    <cellStyle name="Нейтральный 110" xfId="25272" xr:uid="{00000000-0005-0000-0000-0000E3660000}"/>
    <cellStyle name="Нейтральный 111" xfId="25273" xr:uid="{00000000-0005-0000-0000-0000E4660000}"/>
    <cellStyle name="Нейтральный 112" xfId="25274" xr:uid="{00000000-0005-0000-0000-0000E5660000}"/>
    <cellStyle name="Нейтральный 113" xfId="25275" xr:uid="{00000000-0005-0000-0000-0000E6660000}"/>
    <cellStyle name="Нейтральный 114" xfId="25276" xr:uid="{00000000-0005-0000-0000-0000E7660000}"/>
    <cellStyle name="Нейтральный 115" xfId="25277" xr:uid="{00000000-0005-0000-0000-0000E8660000}"/>
    <cellStyle name="Нейтральный 116" xfId="25278" xr:uid="{00000000-0005-0000-0000-0000E9660000}"/>
    <cellStyle name="Нейтральный 117" xfId="25279" xr:uid="{00000000-0005-0000-0000-0000EA660000}"/>
    <cellStyle name="Нейтральный 118" xfId="25280" xr:uid="{00000000-0005-0000-0000-0000EB660000}"/>
    <cellStyle name="Нейтральный 119" xfId="25281" xr:uid="{00000000-0005-0000-0000-0000EC660000}"/>
    <cellStyle name="Нейтральный 12" xfId="25282" xr:uid="{00000000-0005-0000-0000-0000ED660000}"/>
    <cellStyle name="Нейтральный 12 2" xfId="26872" xr:uid="{00000000-0005-0000-0000-0000EE660000}"/>
    <cellStyle name="Нейтральный 120" xfId="25283" xr:uid="{00000000-0005-0000-0000-0000EF660000}"/>
    <cellStyle name="Нейтральный 121" xfId="25284" xr:uid="{00000000-0005-0000-0000-0000F0660000}"/>
    <cellStyle name="Нейтральный 122" xfId="25285" xr:uid="{00000000-0005-0000-0000-0000F1660000}"/>
    <cellStyle name="Нейтральный 123" xfId="25286" xr:uid="{00000000-0005-0000-0000-0000F2660000}"/>
    <cellStyle name="Нейтральный 124" xfId="25287" xr:uid="{00000000-0005-0000-0000-0000F3660000}"/>
    <cellStyle name="Нейтральный 125" xfId="25288" xr:uid="{00000000-0005-0000-0000-0000F4660000}"/>
    <cellStyle name="Нейтральный 126" xfId="25289" xr:uid="{00000000-0005-0000-0000-0000F5660000}"/>
    <cellStyle name="Нейтральный 127" xfId="25290" xr:uid="{00000000-0005-0000-0000-0000F6660000}"/>
    <cellStyle name="Нейтральный 128" xfId="25291" xr:uid="{00000000-0005-0000-0000-0000F7660000}"/>
    <cellStyle name="Нейтральный 129" xfId="25292" xr:uid="{00000000-0005-0000-0000-0000F8660000}"/>
    <cellStyle name="Нейтральный 13" xfId="25293" xr:uid="{00000000-0005-0000-0000-0000F9660000}"/>
    <cellStyle name="Нейтральный 13 2" xfId="26873" xr:uid="{00000000-0005-0000-0000-0000FA660000}"/>
    <cellStyle name="Нейтральный 130" xfId="25294" xr:uid="{00000000-0005-0000-0000-0000FB660000}"/>
    <cellStyle name="Нейтральный 131" xfId="25295" xr:uid="{00000000-0005-0000-0000-0000FC660000}"/>
    <cellStyle name="Нейтральный 132" xfId="25296" xr:uid="{00000000-0005-0000-0000-0000FD660000}"/>
    <cellStyle name="Нейтральный 133" xfId="25297" xr:uid="{00000000-0005-0000-0000-0000FE660000}"/>
    <cellStyle name="Нейтральный 134" xfId="25298" xr:uid="{00000000-0005-0000-0000-0000FF660000}"/>
    <cellStyle name="Нейтральный 135" xfId="25299" xr:uid="{00000000-0005-0000-0000-000000670000}"/>
    <cellStyle name="Нейтральный 136" xfId="25300" xr:uid="{00000000-0005-0000-0000-000001670000}"/>
    <cellStyle name="Нейтральный 137" xfId="25301" xr:uid="{00000000-0005-0000-0000-000002670000}"/>
    <cellStyle name="Нейтральный 138" xfId="25302" xr:uid="{00000000-0005-0000-0000-000003670000}"/>
    <cellStyle name="Нейтральный 139" xfId="25303" xr:uid="{00000000-0005-0000-0000-000004670000}"/>
    <cellStyle name="Нейтральный 14" xfId="25304" xr:uid="{00000000-0005-0000-0000-000005670000}"/>
    <cellStyle name="Нейтральный 14 2" xfId="26863" xr:uid="{00000000-0005-0000-0000-000006670000}"/>
    <cellStyle name="Нейтральный 140" xfId="25305" xr:uid="{00000000-0005-0000-0000-000007670000}"/>
    <cellStyle name="Нейтральный 141" xfId="25306" xr:uid="{00000000-0005-0000-0000-000008670000}"/>
    <cellStyle name="Нейтральный 142" xfId="25307" xr:uid="{00000000-0005-0000-0000-000009670000}"/>
    <cellStyle name="Нейтральный 143" xfId="25308" xr:uid="{00000000-0005-0000-0000-00000A670000}"/>
    <cellStyle name="Нейтральный 144" xfId="25309" xr:uid="{00000000-0005-0000-0000-00000B670000}"/>
    <cellStyle name="Нейтральный 145" xfId="25310" xr:uid="{00000000-0005-0000-0000-00000C670000}"/>
    <cellStyle name="Нейтральный 146" xfId="25311" xr:uid="{00000000-0005-0000-0000-00000D670000}"/>
    <cellStyle name="Нейтральный 147" xfId="25312" xr:uid="{00000000-0005-0000-0000-00000E670000}"/>
    <cellStyle name="Нейтральный 148" xfId="25313" xr:uid="{00000000-0005-0000-0000-00000F670000}"/>
    <cellStyle name="Нейтральный 149" xfId="25314" xr:uid="{00000000-0005-0000-0000-000010670000}"/>
    <cellStyle name="Нейтральный 15" xfId="25315" xr:uid="{00000000-0005-0000-0000-000011670000}"/>
    <cellStyle name="Нейтральный 15 2" xfId="26920" xr:uid="{00000000-0005-0000-0000-000012670000}"/>
    <cellStyle name="Нейтральный 150" xfId="25316" xr:uid="{00000000-0005-0000-0000-000013670000}"/>
    <cellStyle name="Нейтральный 151" xfId="25317" xr:uid="{00000000-0005-0000-0000-000014670000}"/>
    <cellStyle name="Нейтральный 152" xfId="25318" xr:uid="{00000000-0005-0000-0000-000015670000}"/>
    <cellStyle name="Нейтральный 153" xfId="25319" xr:uid="{00000000-0005-0000-0000-000016670000}"/>
    <cellStyle name="Нейтральный 154" xfId="25320" xr:uid="{00000000-0005-0000-0000-000017670000}"/>
    <cellStyle name="Нейтральный 155" xfId="25321" xr:uid="{00000000-0005-0000-0000-000018670000}"/>
    <cellStyle name="Нейтральный 156" xfId="25322" xr:uid="{00000000-0005-0000-0000-000019670000}"/>
    <cellStyle name="Нейтральный 157" xfId="25323" xr:uid="{00000000-0005-0000-0000-00001A670000}"/>
    <cellStyle name="Нейтральный 158" xfId="25324" xr:uid="{00000000-0005-0000-0000-00001B670000}"/>
    <cellStyle name="Нейтральный 159" xfId="25325" xr:uid="{00000000-0005-0000-0000-00001C670000}"/>
    <cellStyle name="Нейтральный 16" xfId="25326" xr:uid="{00000000-0005-0000-0000-00001D670000}"/>
    <cellStyle name="Нейтральный 16 2" xfId="26921" xr:uid="{00000000-0005-0000-0000-00001E670000}"/>
    <cellStyle name="Нейтральный 160" xfId="25327" xr:uid="{00000000-0005-0000-0000-00001F670000}"/>
    <cellStyle name="Нейтральный 161" xfId="25328" xr:uid="{00000000-0005-0000-0000-000020670000}"/>
    <cellStyle name="Нейтральный 162" xfId="25329" xr:uid="{00000000-0005-0000-0000-000021670000}"/>
    <cellStyle name="Нейтральный 163" xfId="25330" xr:uid="{00000000-0005-0000-0000-000022670000}"/>
    <cellStyle name="Нейтральный 164" xfId="25331" xr:uid="{00000000-0005-0000-0000-000023670000}"/>
    <cellStyle name="Нейтральный 165" xfId="25332" xr:uid="{00000000-0005-0000-0000-000024670000}"/>
    <cellStyle name="Нейтральный 166" xfId="25333" xr:uid="{00000000-0005-0000-0000-000025670000}"/>
    <cellStyle name="Нейтральный 167" xfId="25334" xr:uid="{00000000-0005-0000-0000-000026670000}"/>
    <cellStyle name="Нейтральный 168" xfId="25335" xr:uid="{00000000-0005-0000-0000-000027670000}"/>
    <cellStyle name="Нейтральный 169" xfId="25336" xr:uid="{00000000-0005-0000-0000-000028670000}"/>
    <cellStyle name="Нейтральный 17" xfId="25337" xr:uid="{00000000-0005-0000-0000-000029670000}"/>
    <cellStyle name="Нейтральный 17 2" xfId="26913" xr:uid="{00000000-0005-0000-0000-00002A670000}"/>
    <cellStyle name="Нейтральный 170" xfId="25338" xr:uid="{00000000-0005-0000-0000-00002B670000}"/>
    <cellStyle name="Нейтральный 171" xfId="25339" xr:uid="{00000000-0005-0000-0000-00002C670000}"/>
    <cellStyle name="Нейтральный 172" xfId="25340" xr:uid="{00000000-0005-0000-0000-00002D670000}"/>
    <cellStyle name="Нейтральный 173" xfId="25257" xr:uid="{00000000-0005-0000-0000-00002E670000}"/>
    <cellStyle name="Нейтральный 18" xfId="25341" xr:uid="{00000000-0005-0000-0000-00002F670000}"/>
    <cellStyle name="Нейтральный 18 2" xfId="26973" xr:uid="{00000000-0005-0000-0000-000030670000}"/>
    <cellStyle name="Нейтральный 19" xfId="25342" xr:uid="{00000000-0005-0000-0000-000031670000}"/>
    <cellStyle name="Нейтральный 19 2" xfId="26974" xr:uid="{00000000-0005-0000-0000-000032670000}"/>
    <cellStyle name="Нейтральный 2" xfId="25343" xr:uid="{00000000-0005-0000-0000-000033670000}"/>
    <cellStyle name="Нейтральный 2 2" xfId="25344" xr:uid="{00000000-0005-0000-0000-000034670000}"/>
    <cellStyle name="Нейтральный 2 2 2" xfId="25345" xr:uid="{00000000-0005-0000-0000-000035670000}"/>
    <cellStyle name="Нейтральный 2 3" xfId="25346" xr:uid="{00000000-0005-0000-0000-000036670000}"/>
    <cellStyle name="Нейтральный 2 4" xfId="28133" xr:uid="{00000000-0005-0000-0000-000037670000}"/>
    <cellStyle name="Нейтральный 20" xfId="25347" xr:uid="{00000000-0005-0000-0000-000038670000}"/>
    <cellStyle name="Нейтральный 20 2" xfId="26965" xr:uid="{00000000-0005-0000-0000-000039670000}"/>
    <cellStyle name="Нейтральный 21" xfId="25348" xr:uid="{00000000-0005-0000-0000-00003A670000}"/>
    <cellStyle name="Нейтральный 21 2" xfId="26981" xr:uid="{00000000-0005-0000-0000-00003B670000}"/>
    <cellStyle name="Нейтральный 22" xfId="25349" xr:uid="{00000000-0005-0000-0000-00003C670000}"/>
    <cellStyle name="Нейтральный 22 2" xfId="26953" xr:uid="{00000000-0005-0000-0000-00003D670000}"/>
    <cellStyle name="Нейтральный 23" xfId="25350" xr:uid="{00000000-0005-0000-0000-00003E670000}"/>
    <cellStyle name="Нейтральный 23 2" xfId="26993" xr:uid="{00000000-0005-0000-0000-00003F670000}"/>
    <cellStyle name="Нейтральный 24" xfId="25351" xr:uid="{00000000-0005-0000-0000-000040670000}"/>
    <cellStyle name="Нейтральный 24 2" xfId="27065" xr:uid="{00000000-0005-0000-0000-000041670000}"/>
    <cellStyle name="Нейтральный 25" xfId="25352" xr:uid="{00000000-0005-0000-0000-000042670000}"/>
    <cellStyle name="Нейтральный 25 2" xfId="27066" xr:uid="{00000000-0005-0000-0000-000043670000}"/>
    <cellStyle name="Нейтральный 26" xfId="25353" xr:uid="{00000000-0005-0000-0000-000044670000}"/>
    <cellStyle name="Нейтральный 26 2" xfId="27058" xr:uid="{00000000-0005-0000-0000-000045670000}"/>
    <cellStyle name="Нейтральный 27" xfId="25354" xr:uid="{00000000-0005-0000-0000-000046670000}"/>
    <cellStyle name="Нейтральный 27 2" xfId="27073" xr:uid="{00000000-0005-0000-0000-000047670000}"/>
    <cellStyle name="Нейтральный 28" xfId="25355" xr:uid="{00000000-0005-0000-0000-000048670000}"/>
    <cellStyle name="Нейтральный 28 2" xfId="27131" xr:uid="{00000000-0005-0000-0000-000049670000}"/>
    <cellStyle name="Нейтральный 29" xfId="25356" xr:uid="{00000000-0005-0000-0000-00004A670000}"/>
    <cellStyle name="Нейтральный 29 2" xfId="27132" xr:uid="{00000000-0005-0000-0000-00004B670000}"/>
    <cellStyle name="Нейтральный 3" xfId="25357" xr:uid="{00000000-0005-0000-0000-00004C670000}"/>
    <cellStyle name="Нейтральный 3 2" xfId="25358" xr:uid="{00000000-0005-0000-0000-00004D670000}"/>
    <cellStyle name="Нейтральный 3 3" xfId="25359" xr:uid="{00000000-0005-0000-0000-00004E670000}"/>
    <cellStyle name="Нейтральный 30" xfId="25360" xr:uid="{00000000-0005-0000-0000-00004F670000}"/>
    <cellStyle name="Нейтральный 30 2" xfId="27124" xr:uid="{00000000-0005-0000-0000-000050670000}"/>
    <cellStyle name="Нейтральный 31" xfId="25361" xr:uid="{00000000-0005-0000-0000-000051670000}"/>
    <cellStyle name="Нейтральный 31 2" xfId="27169" xr:uid="{00000000-0005-0000-0000-000052670000}"/>
    <cellStyle name="Нейтральный 32" xfId="25362" xr:uid="{00000000-0005-0000-0000-000053670000}"/>
    <cellStyle name="Нейтральный 32 2" xfId="27187" xr:uid="{00000000-0005-0000-0000-000054670000}"/>
    <cellStyle name="Нейтральный 33" xfId="25363" xr:uid="{00000000-0005-0000-0000-000055670000}"/>
    <cellStyle name="Нейтральный 33 2" xfId="27214" xr:uid="{00000000-0005-0000-0000-000056670000}"/>
    <cellStyle name="Нейтральный 34" xfId="25364" xr:uid="{00000000-0005-0000-0000-000057670000}"/>
    <cellStyle name="Нейтральный 34 2" xfId="27229" xr:uid="{00000000-0005-0000-0000-000058670000}"/>
    <cellStyle name="Нейтральный 35" xfId="25365" xr:uid="{00000000-0005-0000-0000-000059670000}"/>
    <cellStyle name="Нейтральный 35 2" xfId="27234" xr:uid="{00000000-0005-0000-0000-00005A670000}"/>
    <cellStyle name="Нейтральный 36" xfId="25366" xr:uid="{00000000-0005-0000-0000-00005B670000}"/>
    <cellStyle name="Нейтральный 36 2" xfId="27292" xr:uid="{00000000-0005-0000-0000-00005C670000}"/>
    <cellStyle name="Нейтральный 37" xfId="25367" xr:uid="{00000000-0005-0000-0000-00005D670000}"/>
    <cellStyle name="Нейтральный 37 2" xfId="27298" xr:uid="{00000000-0005-0000-0000-00005E670000}"/>
    <cellStyle name="Нейтральный 38" xfId="25368" xr:uid="{00000000-0005-0000-0000-00005F670000}"/>
    <cellStyle name="Нейтральный 38 2" xfId="27282" xr:uid="{00000000-0005-0000-0000-000060670000}"/>
    <cellStyle name="Нейтральный 39" xfId="25369" xr:uid="{00000000-0005-0000-0000-000061670000}"/>
    <cellStyle name="Нейтральный 39 2" xfId="27307" xr:uid="{00000000-0005-0000-0000-000062670000}"/>
    <cellStyle name="Нейтральный 4" xfId="25370" xr:uid="{00000000-0005-0000-0000-000063670000}"/>
    <cellStyle name="Нейтральный 4 2" xfId="25371" xr:uid="{00000000-0005-0000-0000-000064670000}"/>
    <cellStyle name="Нейтральный 40" xfId="25372" xr:uid="{00000000-0005-0000-0000-000065670000}"/>
    <cellStyle name="Нейтральный 40 2" xfId="27384" xr:uid="{00000000-0005-0000-0000-000066670000}"/>
    <cellStyle name="Нейтральный 41" xfId="25373" xr:uid="{00000000-0005-0000-0000-000067670000}"/>
    <cellStyle name="Нейтральный 41 2" xfId="27360" xr:uid="{00000000-0005-0000-0000-000068670000}"/>
    <cellStyle name="Нейтральный 42" xfId="25374" xr:uid="{00000000-0005-0000-0000-000069670000}"/>
    <cellStyle name="Нейтральный 42 2" xfId="27390" xr:uid="{00000000-0005-0000-0000-00006A670000}"/>
    <cellStyle name="Нейтральный 43" xfId="25375" xr:uid="{00000000-0005-0000-0000-00006B670000}"/>
    <cellStyle name="Нейтральный 43 2" xfId="27411" xr:uid="{00000000-0005-0000-0000-00006C670000}"/>
    <cellStyle name="Нейтральный 44" xfId="25376" xr:uid="{00000000-0005-0000-0000-00006D670000}"/>
    <cellStyle name="Нейтральный 44 2" xfId="27418" xr:uid="{00000000-0005-0000-0000-00006E670000}"/>
    <cellStyle name="Нейтральный 45" xfId="25377" xr:uid="{00000000-0005-0000-0000-00006F670000}"/>
    <cellStyle name="Нейтральный 45 2" xfId="27487" xr:uid="{00000000-0005-0000-0000-000070670000}"/>
    <cellStyle name="Нейтральный 46" xfId="25378" xr:uid="{00000000-0005-0000-0000-000071670000}"/>
    <cellStyle name="Нейтральный 46 2" xfId="27478" xr:uid="{00000000-0005-0000-0000-000072670000}"/>
    <cellStyle name="Нейтральный 47" xfId="25379" xr:uid="{00000000-0005-0000-0000-000073670000}"/>
    <cellStyle name="Нейтральный 47 2" xfId="27497" xr:uid="{00000000-0005-0000-0000-000074670000}"/>
    <cellStyle name="Нейтральный 48" xfId="25380" xr:uid="{00000000-0005-0000-0000-000075670000}"/>
    <cellStyle name="Нейтральный 48 2" xfId="27463" xr:uid="{00000000-0005-0000-0000-000076670000}"/>
    <cellStyle name="Нейтральный 49" xfId="25381" xr:uid="{00000000-0005-0000-0000-000077670000}"/>
    <cellStyle name="Нейтральный 49 2" xfId="27574" xr:uid="{00000000-0005-0000-0000-000078670000}"/>
    <cellStyle name="Нейтральный 5" xfId="25382" xr:uid="{00000000-0005-0000-0000-000079670000}"/>
    <cellStyle name="Нейтральный 5 2" xfId="25383" xr:uid="{00000000-0005-0000-0000-00007A670000}"/>
    <cellStyle name="Нейтральный 50" xfId="25384" xr:uid="{00000000-0005-0000-0000-00007B670000}"/>
    <cellStyle name="Нейтральный 50 2" xfId="27564" xr:uid="{00000000-0005-0000-0000-00007C670000}"/>
    <cellStyle name="Нейтральный 51" xfId="25385" xr:uid="{00000000-0005-0000-0000-00007D670000}"/>
    <cellStyle name="Нейтральный 51 2" xfId="27583" xr:uid="{00000000-0005-0000-0000-00007E670000}"/>
    <cellStyle name="Нейтральный 52" xfId="25386" xr:uid="{00000000-0005-0000-0000-00007F670000}"/>
    <cellStyle name="Нейтральный 52 2" xfId="27548" xr:uid="{00000000-0005-0000-0000-000080670000}"/>
    <cellStyle name="Нейтральный 53" xfId="25387" xr:uid="{00000000-0005-0000-0000-000081670000}"/>
    <cellStyle name="Нейтральный 53 2" xfId="27633" xr:uid="{00000000-0005-0000-0000-000082670000}"/>
    <cellStyle name="Нейтральный 54" xfId="25388" xr:uid="{00000000-0005-0000-0000-000083670000}"/>
    <cellStyle name="Нейтральный 54 2" xfId="27686" xr:uid="{00000000-0005-0000-0000-000084670000}"/>
    <cellStyle name="Нейтральный 55" xfId="25389" xr:uid="{00000000-0005-0000-0000-000085670000}"/>
    <cellStyle name="Нейтральный 55 2" xfId="27691" xr:uid="{00000000-0005-0000-0000-000086670000}"/>
    <cellStyle name="Нейтральный 56" xfId="25390" xr:uid="{00000000-0005-0000-0000-000087670000}"/>
    <cellStyle name="Нейтральный 56 2" xfId="27676" xr:uid="{00000000-0005-0000-0000-000088670000}"/>
    <cellStyle name="Нейтральный 57" xfId="25391" xr:uid="{00000000-0005-0000-0000-000089670000}"/>
    <cellStyle name="Нейтральный 57 2" xfId="27701" xr:uid="{00000000-0005-0000-0000-00008A670000}"/>
    <cellStyle name="Нейтральный 58" xfId="25392" xr:uid="{00000000-0005-0000-0000-00008B670000}"/>
    <cellStyle name="Нейтральный 58 2" xfId="27660" xr:uid="{00000000-0005-0000-0000-00008C670000}"/>
    <cellStyle name="Нейтральный 59" xfId="25393" xr:uid="{00000000-0005-0000-0000-00008D670000}"/>
    <cellStyle name="Нейтральный 59 2" xfId="27770" xr:uid="{00000000-0005-0000-0000-00008E670000}"/>
    <cellStyle name="Нейтральный 6" xfId="25394" xr:uid="{00000000-0005-0000-0000-00008F670000}"/>
    <cellStyle name="Нейтральный 6 2" xfId="25395" xr:uid="{00000000-0005-0000-0000-000090670000}"/>
    <cellStyle name="Нейтральный 60" xfId="25396" xr:uid="{00000000-0005-0000-0000-000091670000}"/>
    <cellStyle name="Нейтральный 61" xfId="25397" xr:uid="{00000000-0005-0000-0000-000092670000}"/>
    <cellStyle name="Нейтральный 62" xfId="25398" xr:uid="{00000000-0005-0000-0000-000093670000}"/>
    <cellStyle name="Нейтральный 63" xfId="25399" xr:uid="{00000000-0005-0000-0000-000094670000}"/>
    <cellStyle name="Нейтральный 64" xfId="25400" xr:uid="{00000000-0005-0000-0000-000095670000}"/>
    <cellStyle name="Нейтральный 65" xfId="25401" xr:uid="{00000000-0005-0000-0000-000096670000}"/>
    <cellStyle name="Нейтральный 66" xfId="25402" xr:uid="{00000000-0005-0000-0000-000097670000}"/>
    <cellStyle name="Нейтральный 67" xfId="25403" xr:uid="{00000000-0005-0000-0000-000098670000}"/>
    <cellStyle name="Нейтральный 68" xfId="25404" xr:uid="{00000000-0005-0000-0000-000099670000}"/>
    <cellStyle name="Нейтральный 69" xfId="25405" xr:uid="{00000000-0005-0000-0000-00009A670000}"/>
    <cellStyle name="Нейтральный 7" xfId="25406" xr:uid="{00000000-0005-0000-0000-00009B670000}"/>
    <cellStyle name="Нейтральный 7 2" xfId="25407" xr:uid="{00000000-0005-0000-0000-00009C670000}"/>
    <cellStyle name="Нейтральный 70" xfId="25408" xr:uid="{00000000-0005-0000-0000-00009D670000}"/>
    <cellStyle name="Нейтральный 71" xfId="25409" xr:uid="{00000000-0005-0000-0000-00009E670000}"/>
    <cellStyle name="Нейтральный 72" xfId="25410" xr:uid="{00000000-0005-0000-0000-00009F670000}"/>
    <cellStyle name="Нейтральный 73" xfId="25411" xr:uid="{00000000-0005-0000-0000-0000A0670000}"/>
    <cellStyle name="Нейтральный 74" xfId="25412" xr:uid="{00000000-0005-0000-0000-0000A1670000}"/>
    <cellStyle name="Нейтральный 75" xfId="25413" xr:uid="{00000000-0005-0000-0000-0000A2670000}"/>
    <cellStyle name="Нейтральный 76" xfId="25414" xr:uid="{00000000-0005-0000-0000-0000A3670000}"/>
    <cellStyle name="Нейтральный 77" xfId="25415" xr:uid="{00000000-0005-0000-0000-0000A4670000}"/>
    <cellStyle name="Нейтральный 78" xfId="25416" xr:uid="{00000000-0005-0000-0000-0000A5670000}"/>
    <cellStyle name="Нейтральный 79" xfId="25417" xr:uid="{00000000-0005-0000-0000-0000A6670000}"/>
    <cellStyle name="Нейтральный 8" xfId="25418" xr:uid="{00000000-0005-0000-0000-0000A7670000}"/>
    <cellStyle name="Нейтральный 8 2" xfId="25419" xr:uid="{00000000-0005-0000-0000-0000A8670000}"/>
    <cellStyle name="Нейтральный 80" xfId="25420" xr:uid="{00000000-0005-0000-0000-0000A9670000}"/>
    <cellStyle name="Нейтральный 81" xfId="25421" xr:uid="{00000000-0005-0000-0000-0000AA670000}"/>
    <cellStyle name="Нейтральный 82" xfId="25422" xr:uid="{00000000-0005-0000-0000-0000AB670000}"/>
    <cellStyle name="Нейтральный 83" xfId="25423" xr:uid="{00000000-0005-0000-0000-0000AC670000}"/>
    <cellStyle name="Нейтральный 84" xfId="25424" xr:uid="{00000000-0005-0000-0000-0000AD670000}"/>
    <cellStyle name="Нейтральный 85" xfId="25425" xr:uid="{00000000-0005-0000-0000-0000AE670000}"/>
    <cellStyle name="Нейтральный 86" xfId="25426" xr:uid="{00000000-0005-0000-0000-0000AF670000}"/>
    <cellStyle name="Нейтральный 87" xfId="25427" xr:uid="{00000000-0005-0000-0000-0000B0670000}"/>
    <cellStyle name="Нейтральный 88" xfId="25428" xr:uid="{00000000-0005-0000-0000-0000B1670000}"/>
    <cellStyle name="Нейтральный 89" xfId="25429" xr:uid="{00000000-0005-0000-0000-0000B2670000}"/>
    <cellStyle name="Нейтральный 9" xfId="25430" xr:uid="{00000000-0005-0000-0000-0000B3670000}"/>
    <cellStyle name="Нейтральный 9 2" xfId="25431" xr:uid="{00000000-0005-0000-0000-0000B4670000}"/>
    <cellStyle name="Нейтральный 90" xfId="25432" xr:uid="{00000000-0005-0000-0000-0000B5670000}"/>
    <cellStyle name="Нейтральный 91" xfId="25433" xr:uid="{00000000-0005-0000-0000-0000B6670000}"/>
    <cellStyle name="Нейтральный 92" xfId="25434" xr:uid="{00000000-0005-0000-0000-0000B7670000}"/>
    <cellStyle name="Нейтральный 93" xfId="25435" xr:uid="{00000000-0005-0000-0000-0000B8670000}"/>
    <cellStyle name="Нейтральный 94" xfId="25436" xr:uid="{00000000-0005-0000-0000-0000B9670000}"/>
    <cellStyle name="Нейтральный 95" xfId="25437" xr:uid="{00000000-0005-0000-0000-0000BA670000}"/>
    <cellStyle name="Нейтральный 96" xfId="25438" xr:uid="{00000000-0005-0000-0000-0000BB670000}"/>
    <cellStyle name="Нейтральный 97" xfId="25439" xr:uid="{00000000-0005-0000-0000-0000BC670000}"/>
    <cellStyle name="Нейтральный 98" xfId="25440" xr:uid="{00000000-0005-0000-0000-0000BD670000}"/>
    <cellStyle name="Нейтральный 99" xfId="25441" xr:uid="{00000000-0005-0000-0000-0000BE670000}"/>
    <cellStyle name="Обычный" xfId="0" builtinId="0"/>
    <cellStyle name="Обычный 10" xfId="25442" xr:uid="{00000000-0005-0000-0000-0000BF670000}"/>
    <cellStyle name="Обычный 10 2" xfId="25443" xr:uid="{00000000-0005-0000-0000-0000C0670000}"/>
    <cellStyle name="Обычный 100" xfId="27786" xr:uid="{00000000-0005-0000-0000-0000C1670000}"/>
    <cellStyle name="Обычный 100 2" xfId="27889" xr:uid="{00000000-0005-0000-0000-0000C2670000}"/>
    <cellStyle name="Обычный 101" xfId="27787" xr:uid="{00000000-0005-0000-0000-0000C3670000}"/>
    <cellStyle name="Обычный 101 2" xfId="27890" xr:uid="{00000000-0005-0000-0000-0000C4670000}"/>
    <cellStyle name="Обычный 102" xfId="27788" xr:uid="{00000000-0005-0000-0000-0000C5670000}"/>
    <cellStyle name="Обычный 102 2" xfId="27891" xr:uid="{00000000-0005-0000-0000-0000C6670000}"/>
    <cellStyle name="Обычный 103" xfId="27789" xr:uid="{00000000-0005-0000-0000-0000C7670000}"/>
    <cellStyle name="Обычный 103 2" xfId="27892" xr:uid="{00000000-0005-0000-0000-0000C8670000}"/>
    <cellStyle name="Обычный 104" xfId="27790" xr:uid="{00000000-0005-0000-0000-0000C9670000}"/>
    <cellStyle name="Обычный 105" xfId="27791" xr:uid="{00000000-0005-0000-0000-0000CA670000}"/>
    <cellStyle name="Обычный 105 2" xfId="27893" xr:uid="{00000000-0005-0000-0000-0000CB670000}"/>
    <cellStyle name="Обычный 106" xfId="27864" xr:uid="{00000000-0005-0000-0000-0000CC670000}"/>
    <cellStyle name="Обычный 106 2" xfId="27895" xr:uid="{00000000-0005-0000-0000-0000CD670000}"/>
    <cellStyle name="Обычный 107" xfId="27896" xr:uid="{00000000-0005-0000-0000-0000CE670000}"/>
    <cellStyle name="Обычный 108" xfId="27897" xr:uid="{00000000-0005-0000-0000-0000CF670000}"/>
    <cellStyle name="Обычный 108 2" xfId="28043" xr:uid="{00000000-0005-0000-0000-0000D0670000}"/>
    <cellStyle name="Обычный 109" xfId="13" xr:uid="{00000000-0005-0000-0000-0000D1670000}"/>
    <cellStyle name="Обычный 11" xfId="25444" xr:uid="{00000000-0005-0000-0000-0000D2670000}"/>
    <cellStyle name="Обычный 11 2" xfId="25445" xr:uid="{00000000-0005-0000-0000-0000D3670000}"/>
    <cellStyle name="Обычный 11 3" xfId="25446" xr:uid="{00000000-0005-0000-0000-0000D4670000}"/>
    <cellStyle name="Обычный 110" xfId="27947" xr:uid="{00000000-0005-0000-0000-0000D5670000}"/>
    <cellStyle name="Обычный 111" xfId="27953" xr:uid="{00000000-0005-0000-0000-0000D6670000}"/>
    <cellStyle name="Обычный 112" xfId="27949" xr:uid="{00000000-0005-0000-0000-0000D7670000}"/>
    <cellStyle name="Обычный 113" xfId="27951" xr:uid="{00000000-0005-0000-0000-0000D8670000}"/>
    <cellStyle name="Обычный 114" xfId="27993" xr:uid="{00000000-0005-0000-0000-0000D9670000}"/>
    <cellStyle name="Обычный 115" xfId="27994" xr:uid="{00000000-0005-0000-0000-0000DA670000}"/>
    <cellStyle name="Обычный 116" xfId="27995" xr:uid="{00000000-0005-0000-0000-0000DB670000}"/>
    <cellStyle name="Обычный 117" xfId="28055" xr:uid="{00000000-0005-0000-0000-0000DC670000}"/>
    <cellStyle name="Обычный 118" xfId="28057" xr:uid="{00000000-0005-0000-0000-0000DD670000}"/>
    <cellStyle name="Обычный 119" xfId="28071" xr:uid="{00000000-0005-0000-0000-0000DE670000}"/>
    <cellStyle name="Обычный 12" xfId="25447" xr:uid="{00000000-0005-0000-0000-0000DF670000}"/>
    <cellStyle name="Обычный 12 2" xfId="25448" xr:uid="{00000000-0005-0000-0000-0000E0670000}"/>
    <cellStyle name="Обычный 120" xfId="28090" xr:uid="{00000000-0005-0000-0000-0000E1670000}"/>
    <cellStyle name="Обычный 121" xfId="28107" xr:uid="{00000000-0005-0000-0000-0000E2670000}"/>
    <cellStyle name="Обычный 122" xfId="28121" xr:uid="{00000000-0005-0000-0000-0000E3670000}"/>
    <cellStyle name="Обычный 123" xfId="28122" xr:uid="{00000000-0005-0000-0000-0000E4670000}"/>
    <cellStyle name="Обычный 124" xfId="28123" xr:uid="{00000000-0005-0000-0000-0000E5670000}"/>
    <cellStyle name="Обычный 125" xfId="28124" xr:uid="{00000000-0005-0000-0000-0000E6670000}"/>
    <cellStyle name="Обычный 126" xfId="28125" xr:uid="{00000000-0005-0000-0000-0000E7670000}"/>
    <cellStyle name="Обычный 127" xfId="28126" xr:uid="{00000000-0005-0000-0000-0000E8670000}"/>
    <cellStyle name="Обычный 128" xfId="2" xr:uid="{00000000-0005-0000-0000-0000E9670000}"/>
    <cellStyle name="Обычный 13" xfId="25449" xr:uid="{00000000-0005-0000-0000-0000EA670000}"/>
    <cellStyle name="Обычный 13 2" xfId="25450" xr:uid="{00000000-0005-0000-0000-0000EB670000}"/>
    <cellStyle name="Обычный 14" xfId="25451" xr:uid="{00000000-0005-0000-0000-0000EC670000}"/>
    <cellStyle name="Обычный 14 2" xfId="25452" xr:uid="{00000000-0005-0000-0000-0000ED670000}"/>
    <cellStyle name="Обычный 15" xfId="25453" xr:uid="{00000000-0005-0000-0000-0000EE670000}"/>
    <cellStyle name="Обычный 15 2" xfId="25454" xr:uid="{00000000-0005-0000-0000-0000EF670000}"/>
    <cellStyle name="Обычный 16" xfId="25455" xr:uid="{00000000-0005-0000-0000-0000F0670000}"/>
    <cellStyle name="Обычный 16 2" xfId="25456" xr:uid="{00000000-0005-0000-0000-0000F1670000}"/>
    <cellStyle name="Обычный 17" xfId="25457" xr:uid="{00000000-0005-0000-0000-0000F2670000}"/>
    <cellStyle name="Обычный 17 2" xfId="25458" xr:uid="{00000000-0005-0000-0000-0000F3670000}"/>
    <cellStyle name="Обычный 18" xfId="25459" xr:uid="{00000000-0005-0000-0000-0000F4670000}"/>
    <cellStyle name="Обычный 18 2" xfId="25460" xr:uid="{00000000-0005-0000-0000-0000F5670000}"/>
    <cellStyle name="Обычный 19" xfId="25461" xr:uid="{00000000-0005-0000-0000-0000F6670000}"/>
    <cellStyle name="Обычный 19 2" xfId="25462" xr:uid="{00000000-0005-0000-0000-0000F7670000}"/>
    <cellStyle name="Обычный 2" xfId="8" xr:uid="{00000000-0005-0000-0000-0000F8670000}"/>
    <cellStyle name="Обычный 2 10" xfId="25464" xr:uid="{00000000-0005-0000-0000-0000F9670000}"/>
    <cellStyle name="Обычный 2 11" xfId="25465" xr:uid="{00000000-0005-0000-0000-0000FA670000}"/>
    <cellStyle name="Обычный 2 12" xfId="25466" xr:uid="{00000000-0005-0000-0000-0000FB670000}"/>
    <cellStyle name="Обычный 2 13" xfId="25467" xr:uid="{00000000-0005-0000-0000-0000FC670000}"/>
    <cellStyle name="Обычный 2 14" xfId="25468" xr:uid="{00000000-0005-0000-0000-0000FD670000}"/>
    <cellStyle name="Обычный 2 14 2" xfId="25469" xr:uid="{00000000-0005-0000-0000-0000FE670000}"/>
    <cellStyle name="Обычный 2 15" xfId="28128" xr:uid="{00000000-0005-0000-0000-0000FF670000}"/>
    <cellStyle name="Обычный 2 16" xfId="25463" xr:uid="{00000000-0005-0000-0000-000000680000}"/>
    <cellStyle name="Обычный 2 2" xfId="25470" xr:uid="{00000000-0005-0000-0000-000001680000}"/>
    <cellStyle name="Обычный 2 2 10" xfId="25471" xr:uid="{00000000-0005-0000-0000-000002680000}"/>
    <cellStyle name="Обычный 2 2 10 2" xfId="25472" xr:uid="{00000000-0005-0000-0000-000003680000}"/>
    <cellStyle name="Обычный 2 2 11" xfId="25473" xr:uid="{00000000-0005-0000-0000-000004680000}"/>
    <cellStyle name="Обычный 2 2 12" xfId="25474" xr:uid="{00000000-0005-0000-0000-000005680000}"/>
    <cellStyle name="Обычный 2 2 13" xfId="25475" xr:uid="{00000000-0005-0000-0000-000006680000}"/>
    <cellStyle name="Обычный 2 2 14" xfId="25476" xr:uid="{00000000-0005-0000-0000-000007680000}"/>
    <cellStyle name="Обычный 2 2 2" xfId="25477" xr:uid="{00000000-0005-0000-0000-000008680000}"/>
    <cellStyle name="Обычный 2 2 2 2" xfId="25478" xr:uid="{00000000-0005-0000-0000-000009680000}"/>
    <cellStyle name="Обычный 2 2 2 2 2" xfId="25479" xr:uid="{00000000-0005-0000-0000-00000A680000}"/>
    <cellStyle name="Обычный 2 2 2 2 3" xfId="25480" xr:uid="{00000000-0005-0000-0000-00000B680000}"/>
    <cellStyle name="Обычный 2 2 2 2 4" xfId="25481" xr:uid="{00000000-0005-0000-0000-00000C680000}"/>
    <cellStyle name="Обычный 2 2 2 2 5" xfId="25482" xr:uid="{00000000-0005-0000-0000-00000D680000}"/>
    <cellStyle name="Обычный 2 2 2 2 6" xfId="25483" xr:uid="{00000000-0005-0000-0000-00000E680000}"/>
    <cellStyle name="Обычный 2 2 2 2 7" xfId="25484" xr:uid="{00000000-0005-0000-0000-00000F680000}"/>
    <cellStyle name="Обычный 2 2 2 3" xfId="25485" xr:uid="{00000000-0005-0000-0000-000010680000}"/>
    <cellStyle name="Обычный 2 2 2 4" xfId="25486" xr:uid="{00000000-0005-0000-0000-000011680000}"/>
    <cellStyle name="Обычный 2 2 2 5" xfId="25487" xr:uid="{00000000-0005-0000-0000-000012680000}"/>
    <cellStyle name="Обычный 2 2 2 6" xfId="25488" xr:uid="{00000000-0005-0000-0000-000013680000}"/>
    <cellStyle name="Обычный 2 2 2 7" xfId="25489" xr:uid="{00000000-0005-0000-0000-000014680000}"/>
    <cellStyle name="Обычный 2 2 2 8" xfId="25490" xr:uid="{00000000-0005-0000-0000-000015680000}"/>
    <cellStyle name="Обычный 2 2 3" xfId="25491" xr:uid="{00000000-0005-0000-0000-000016680000}"/>
    <cellStyle name="Обычный 2 2 3 2" xfId="25492" xr:uid="{00000000-0005-0000-0000-000017680000}"/>
    <cellStyle name="Обычный 2 2 3 3" xfId="25493" xr:uid="{00000000-0005-0000-0000-000018680000}"/>
    <cellStyle name="Обычный 2 2 3 4" xfId="25494" xr:uid="{00000000-0005-0000-0000-000019680000}"/>
    <cellStyle name="Обычный 2 2 3 5" xfId="25495" xr:uid="{00000000-0005-0000-0000-00001A680000}"/>
    <cellStyle name="Обычный 2 2 3 6" xfId="25496" xr:uid="{00000000-0005-0000-0000-00001B680000}"/>
    <cellStyle name="Обычный 2 2 3 7" xfId="25497" xr:uid="{00000000-0005-0000-0000-00001C680000}"/>
    <cellStyle name="Обычный 2 2 4" xfId="25498" xr:uid="{00000000-0005-0000-0000-00001D680000}"/>
    <cellStyle name="Обычный 2 2 5" xfId="25499" xr:uid="{00000000-0005-0000-0000-00001E680000}"/>
    <cellStyle name="Обычный 2 2 6" xfId="25500" xr:uid="{00000000-0005-0000-0000-00001F680000}"/>
    <cellStyle name="Обычный 2 2 7" xfId="25501" xr:uid="{00000000-0005-0000-0000-000020680000}"/>
    <cellStyle name="Обычный 2 2 8" xfId="25502" xr:uid="{00000000-0005-0000-0000-000021680000}"/>
    <cellStyle name="Обычный 2 2 9" xfId="25503" xr:uid="{00000000-0005-0000-0000-000022680000}"/>
    <cellStyle name="Обычный 2 23 2" xfId="25504" xr:uid="{00000000-0005-0000-0000-000023680000}"/>
    <cellStyle name="Обычный 2 3" xfId="25505" xr:uid="{00000000-0005-0000-0000-000024680000}"/>
    <cellStyle name="Обычный 2 3 2" xfId="25506" xr:uid="{00000000-0005-0000-0000-000025680000}"/>
    <cellStyle name="Обычный 2 3 2 2" xfId="25507" xr:uid="{00000000-0005-0000-0000-000026680000}"/>
    <cellStyle name="Обычный 2 3 2 3" xfId="25508" xr:uid="{00000000-0005-0000-0000-000027680000}"/>
    <cellStyle name="Обычный 2 3 2 4" xfId="25509" xr:uid="{00000000-0005-0000-0000-000028680000}"/>
    <cellStyle name="Обычный 2 3 2 5" xfId="25510" xr:uid="{00000000-0005-0000-0000-000029680000}"/>
    <cellStyle name="Обычный 2 3 2 6" xfId="25511" xr:uid="{00000000-0005-0000-0000-00002A680000}"/>
    <cellStyle name="Обычный 2 3 3" xfId="25512" xr:uid="{00000000-0005-0000-0000-00002B680000}"/>
    <cellStyle name="Обычный 2 4" xfId="25513" xr:uid="{00000000-0005-0000-0000-00002C680000}"/>
    <cellStyle name="Обычный 2 4 2" xfId="25514" xr:uid="{00000000-0005-0000-0000-00002D680000}"/>
    <cellStyle name="Обычный 2 4 2 2" xfId="25515" xr:uid="{00000000-0005-0000-0000-00002E680000}"/>
    <cellStyle name="Обычный 2 4 2 3" xfId="25516" xr:uid="{00000000-0005-0000-0000-00002F680000}"/>
    <cellStyle name="Обычный 2 4 2 4" xfId="25517" xr:uid="{00000000-0005-0000-0000-000030680000}"/>
    <cellStyle name="Обычный 2 4 2 5" xfId="25518" xr:uid="{00000000-0005-0000-0000-000031680000}"/>
    <cellStyle name="Обычный 2 4 2 6" xfId="25519" xr:uid="{00000000-0005-0000-0000-000032680000}"/>
    <cellStyle name="Обычный 2 5" xfId="25520" xr:uid="{00000000-0005-0000-0000-000033680000}"/>
    <cellStyle name="Обычный 2 5 2" xfId="25521" xr:uid="{00000000-0005-0000-0000-000034680000}"/>
    <cellStyle name="Обычный 2 5 3" xfId="25522" xr:uid="{00000000-0005-0000-0000-000035680000}"/>
    <cellStyle name="Обычный 2 5 4" xfId="25523" xr:uid="{00000000-0005-0000-0000-000036680000}"/>
    <cellStyle name="Обычный 2 5 5" xfId="25524" xr:uid="{00000000-0005-0000-0000-000037680000}"/>
    <cellStyle name="Обычный 2 6" xfId="25525" xr:uid="{00000000-0005-0000-0000-000038680000}"/>
    <cellStyle name="Обычный 2 6 2" xfId="25526" xr:uid="{00000000-0005-0000-0000-000039680000}"/>
    <cellStyle name="Обычный 2 6 3" xfId="25527" xr:uid="{00000000-0005-0000-0000-00003A680000}"/>
    <cellStyle name="Обычный 2 6 4" xfId="25528" xr:uid="{00000000-0005-0000-0000-00003B680000}"/>
    <cellStyle name="Обычный 2 6 5" xfId="25529" xr:uid="{00000000-0005-0000-0000-00003C680000}"/>
    <cellStyle name="Обычный 2 7" xfId="25530" xr:uid="{00000000-0005-0000-0000-00003D680000}"/>
    <cellStyle name="Обычный 2 7 2" xfId="25531" xr:uid="{00000000-0005-0000-0000-00003E680000}"/>
    <cellStyle name="Обычный 2 7 3" xfId="25532" xr:uid="{00000000-0005-0000-0000-00003F680000}"/>
    <cellStyle name="Обычный 2 7 4" xfId="25533" xr:uid="{00000000-0005-0000-0000-000040680000}"/>
    <cellStyle name="Обычный 2 7 5" xfId="25534" xr:uid="{00000000-0005-0000-0000-000041680000}"/>
    <cellStyle name="Обычный 2 8" xfId="25535" xr:uid="{00000000-0005-0000-0000-000042680000}"/>
    <cellStyle name="Обычный 2 9" xfId="25536" xr:uid="{00000000-0005-0000-0000-000043680000}"/>
    <cellStyle name="Обычный 2 9 2" xfId="28206" xr:uid="{00000000-0005-0000-0000-000044680000}"/>
    <cellStyle name="Обычный 2_2009 05 22 Cash flow (2009) (20)" xfId="25537" xr:uid="{00000000-0005-0000-0000-000045680000}"/>
    <cellStyle name="Обычный 20" xfId="25538" xr:uid="{00000000-0005-0000-0000-000046680000}"/>
    <cellStyle name="Обычный 20 2" xfId="25539" xr:uid="{00000000-0005-0000-0000-000047680000}"/>
    <cellStyle name="Обычный 21" xfId="25540" xr:uid="{00000000-0005-0000-0000-000048680000}"/>
    <cellStyle name="Обычный 21 2" xfId="25541" xr:uid="{00000000-0005-0000-0000-000049680000}"/>
    <cellStyle name="Обычный 22" xfId="25542" xr:uid="{00000000-0005-0000-0000-00004A680000}"/>
    <cellStyle name="Обычный 22 2" xfId="25543" xr:uid="{00000000-0005-0000-0000-00004B680000}"/>
    <cellStyle name="Обычный 23" xfId="25544" xr:uid="{00000000-0005-0000-0000-00004C680000}"/>
    <cellStyle name="Обычный 23 2" xfId="25545" xr:uid="{00000000-0005-0000-0000-00004D680000}"/>
    <cellStyle name="Обычный 24" xfId="25546" xr:uid="{00000000-0005-0000-0000-00004E680000}"/>
    <cellStyle name="Обычный 24 2" xfId="25547" xr:uid="{00000000-0005-0000-0000-00004F680000}"/>
    <cellStyle name="Обычный 25" xfId="25548" xr:uid="{00000000-0005-0000-0000-000050680000}"/>
    <cellStyle name="Обычный 25 2" xfId="25549" xr:uid="{00000000-0005-0000-0000-000051680000}"/>
    <cellStyle name="Обычный 26" xfId="25550" xr:uid="{00000000-0005-0000-0000-000052680000}"/>
    <cellStyle name="Обычный 26 2" xfId="25551" xr:uid="{00000000-0005-0000-0000-000053680000}"/>
    <cellStyle name="Обычный 27" xfId="25552" xr:uid="{00000000-0005-0000-0000-000054680000}"/>
    <cellStyle name="Обычный 27 2" xfId="25553" xr:uid="{00000000-0005-0000-0000-000055680000}"/>
    <cellStyle name="Обычный 28" xfId="25554" xr:uid="{00000000-0005-0000-0000-000056680000}"/>
    <cellStyle name="Обычный 28 2" xfId="25555" xr:uid="{00000000-0005-0000-0000-000057680000}"/>
    <cellStyle name="Обычный 29" xfId="25556" xr:uid="{00000000-0005-0000-0000-000058680000}"/>
    <cellStyle name="Обычный 29 2" xfId="25557" xr:uid="{00000000-0005-0000-0000-000059680000}"/>
    <cellStyle name="Обычный 3" xfId="25558" xr:uid="{00000000-0005-0000-0000-00005A680000}"/>
    <cellStyle name="Обычный 3 10" xfId="25559" xr:uid="{00000000-0005-0000-0000-00005B680000}"/>
    <cellStyle name="Обычный 3 11" xfId="25560" xr:uid="{00000000-0005-0000-0000-00005C680000}"/>
    <cellStyle name="Обычный 3 2" xfId="25561" xr:uid="{00000000-0005-0000-0000-00005D680000}"/>
    <cellStyle name="Обычный 3 2 2" xfId="25562" xr:uid="{00000000-0005-0000-0000-00005E680000}"/>
    <cellStyle name="Обычный 3 3" xfId="25563" xr:uid="{00000000-0005-0000-0000-00005F680000}"/>
    <cellStyle name="Обычный 3 3 10" xfId="25564" xr:uid="{00000000-0005-0000-0000-000060680000}"/>
    <cellStyle name="Обычный 3 3 11" xfId="25565" xr:uid="{00000000-0005-0000-0000-000061680000}"/>
    <cellStyle name="Обычный 3 3 2" xfId="25566" xr:uid="{00000000-0005-0000-0000-000062680000}"/>
    <cellStyle name="Обычный 3 3 3" xfId="25567" xr:uid="{00000000-0005-0000-0000-000063680000}"/>
    <cellStyle name="Обычный 3 3 4" xfId="25568" xr:uid="{00000000-0005-0000-0000-000064680000}"/>
    <cellStyle name="Обычный 3 3 5" xfId="25569" xr:uid="{00000000-0005-0000-0000-000065680000}"/>
    <cellStyle name="Обычный 3 3 6" xfId="25570" xr:uid="{00000000-0005-0000-0000-000066680000}"/>
    <cellStyle name="Обычный 3 3 7" xfId="25571" xr:uid="{00000000-0005-0000-0000-000067680000}"/>
    <cellStyle name="Обычный 3 3 8" xfId="25572" xr:uid="{00000000-0005-0000-0000-000068680000}"/>
    <cellStyle name="Обычный 3 3 9" xfId="25573" xr:uid="{00000000-0005-0000-0000-000069680000}"/>
    <cellStyle name="Обычный 3 4" xfId="25574" xr:uid="{00000000-0005-0000-0000-00006A680000}"/>
    <cellStyle name="Обычный 3 4 2" xfId="25575" xr:uid="{00000000-0005-0000-0000-00006B680000}"/>
    <cellStyle name="Обычный 3 4 3" xfId="25576" xr:uid="{00000000-0005-0000-0000-00006C680000}"/>
    <cellStyle name="Обычный 3 4 4" xfId="25577" xr:uid="{00000000-0005-0000-0000-00006D680000}"/>
    <cellStyle name="Обычный 3 4 5" xfId="25578" xr:uid="{00000000-0005-0000-0000-00006E680000}"/>
    <cellStyle name="Обычный 3 5" xfId="25579" xr:uid="{00000000-0005-0000-0000-00006F680000}"/>
    <cellStyle name="Обычный 3 5 2" xfId="25580" xr:uid="{00000000-0005-0000-0000-000070680000}"/>
    <cellStyle name="Обычный 3 5 3" xfId="25581" xr:uid="{00000000-0005-0000-0000-000071680000}"/>
    <cellStyle name="Обычный 3 5 4" xfId="25582" xr:uid="{00000000-0005-0000-0000-000072680000}"/>
    <cellStyle name="Обычный 3 5 5" xfId="25583" xr:uid="{00000000-0005-0000-0000-000073680000}"/>
    <cellStyle name="Обычный 3 6" xfId="25584" xr:uid="{00000000-0005-0000-0000-000074680000}"/>
    <cellStyle name="Обычный 3 7" xfId="25585" xr:uid="{00000000-0005-0000-0000-000075680000}"/>
    <cellStyle name="Обычный 3 8" xfId="25586" xr:uid="{00000000-0005-0000-0000-000076680000}"/>
    <cellStyle name="Обычный 3 9" xfId="25587" xr:uid="{00000000-0005-0000-0000-000077680000}"/>
    <cellStyle name="Обычный 3_rent roll template" xfId="25588" xr:uid="{00000000-0005-0000-0000-000078680000}"/>
    <cellStyle name="Обычный 30" xfId="25589" xr:uid="{00000000-0005-0000-0000-000079680000}"/>
    <cellStyle name="Обычный 31" xfId="25590" xr:uid="{00000000-0005-0000-0000-00007A680000}"/>
    <cellStyle name="Обычный 32" xfId="25591" xr:uid="{00000000-0005-0000-0000-00007B680000}"/>
    <cellStyle name="Обычный 32 2" xfId="25592" xr:uid="{00000000-0005-0000-0000-00007C680000}"/>
    <cellStyle name="Обычный 33" xfId="25593" xr:uid="{00000000-0005-0000-0000-00007D680000}"/>
    <cellStyle name="Обычный 34" xfId="25594" xr:uid="{00000000-0005-0000-0000-00007E680000}"/>
    <cellStyle name="Обычный 35" xfId="25595" xr:uid="{00000000-0005-0000-0000-00007F680000}"/>
    <cellStyle name="Обычный 36" xfId="25596" xr:uid="{00000000-0005-0000-0000-000080680000}"/>
    <cellStyle name="Обычный 37" xfId="25597" xr:uid="{00000000-0005-0000-0000-000081680000}"/>
    <cellStyle name="Обычный 38" xfId="25598" xr:uid="{00000000-0005-0000-0000-000082680000}"/>
    <cellStyle name="Обычный 39" xfId="25599" xr:uid="{00000000-0005-0000-0000-000083680000}"/>
    <cellStyle name="Обычный 4" xfId="25600" xr:uid="{00000000-0005-0000-0000-000084680000}"/>
    <cellStyle name="Обычный 4 2" xfId="25601" xr:uid="{00000000-0005-0000-0000-000085680000}"/>
    <cellStyle name="Обычный 4 3" xfId="25602" xr:uid="{00000000-0005-0000-0000-000086680000}"/>
    <cellStyle name="Обычный 4 4" xfId="27849" xr:uid="{00000000-0005-0000-0000-000087680000}"/>
    <cellStyle name="Обычный 40" xfId="25603" xr:uid="{00000000-0005-0000-0000-000088680000}"/>
    <cellStyle name="Обычный 41" xfId="25604" xr:uid="{00000000-0005-0000-0000-000089680000}"/>
    <cellStyle name="Обычный 42" xfId="25605" xr:uid="{00000000-0005-0000-0000-00008A680000}"/>
    <cellStyle name="Обычный 43" xfId="26796" xr:uid="{00000000-0005-0000-0000-00008B680000}"/>
    <cellStyle name="Обычный 43 2" xfId="27881" xr:uid="{00000000-0005-0000-0000-00008C680000}"/>
    <cellStyle name="Обычный 44" xfId="25606" xr:uid="{00000000-0005-0000-0000-00008D680000}"/>
    <cellStyle name="Обычный 45" xfId="26797" xr:uid="{00000000-0005-0000-0000-00008E680000}"/>
    <cellStyle name="Обычный 45 2" xfId="27882" xr:uid="{00000000-0005-0000-0000-00008F680000}"/>
    <cellStyle name="Обычный 46" xfId="25607" xr:uid="{00000000-0005-0000-0000-000090680000}"/>
    <cellStyle name="Обычный 46 2" xfId="25608" xr:uid="{00000000-0005-0000-0000-000091680000}"/>
    <cellStyle name="Обычный 47" xfId="25609" xr:uid="{00000000-0005-0000-0000-000092680000}"/>
    <cellStyle name="Обычный 47 2" xfId="25610" xr:uid="{00000000-0005-0000-0000-000093680000}"/>
    <cellStyle name="Обычный 48" xfId="25611" xr:uid="{00000000-0005-0000-0000-000094680000}"/>
    <cellStyle name="Обычный 48 2" xfId="25612" xr:uid="{00000000-0005-0000-0000-000095680000}"/>
    <cellStyle name="Обычный 49" xfId="25613" xr:uid="{00000000-0005-0000-0000-000096680000}"/>
    <cellStyle name="Обычный 49 2" xfId="25614" xr:uid="{00000000-0005-0000-0000-000097680000}"/>
    <cellStyle name="Обычный 5" xfId="9" xr:uid="{00000000-0005-0000-0000-000098680000}"/>
    <cellStyle name="Обычный 5 2" xfId="25616" xr:uid="{00000000-0005-0000-0000-000099680000}"/>
    <cellStyle name="Обычный 5 3" xfId="27832" xr:uid="{00000000-0005-0000-0000-00009A680000}"/>
    <cellStyle name="Обычный 5 4" xfId="27853" xr:uid="{00000000-0005-0000-0000-00009B680000}"/>
    <cellStyle name="Обычный 5 5" xfId="25615" xr:uid="{00000000-0005-0000-0000-00009C680000}"/>
    <cellStyle name="Обычный 50" xfId="25617" xr:uid="{00000000-0005-0000-0000-00009D680000}"/>
    <cellStyle name="Обычный 50 2" xfId="25618" xr:uid="{00000000-0005-0000-0000-00009E680000}"/>
    <cellStyle name="Обычный 51" xfId="26798" xr:uid="{00000000-0005-0000-0000-00009F680000}"/>
    <cellStyle name="Обычный 51 2" xfId="27883" xr:uid="{00000000-0005-0000-0000-0000A0680000}"/>
    <cellStyle name="Обычный 52" xfId="25619" xr:uid="{00000000-0005-0000-0000-0000A1680000}"/>
    <cellStyle name="Обычный 52 2" xfId="25620" xr:uid="{00000000-0005-0000-0000-0000A2680000}"/>
    <cellStyle name="Обычный 53" xfId="25621" xr:uid="{00000000-0005-0000-0000-0000A3680000}"/>
    <cellStyle name="Обычный 53 2" xfId="25622" xr:uid="{00000000-0005-0000-0000-0000A4680000}"/>
    <cellStyle name="Обычный 54" xfId="25623" xr:uid="{00000000-0005-0000-0000-0000A5680000}"/>
    <cellStyle name="Обычный 54 2" xfId="25624" xr:uid="{00000000-0005-0000-0000-0000A6680000}"/>
    <cellStyle name="Обычный 55" xfId="25625" xr:uid="{00000000-0005-0000-0000-0000A7680000}"/>
    <cellStyle name="Обычный 55 2" xfId="25626" xr:uid="{00000000-0005-0000-0000-0000A8680000}"/>
    <cellStyle name="Обычный 56" xfId="26799" xr:uid="{00000000-0005-0000-0000-0000A9680000}"/>
    <cellStyle name="Обычный 56 2" xfId="27884" xr:uid="{00000000-0005-0000-0000-0000AA680000}"/>
    <cellStyle name="Обычный 57" xfId="26800" xr:uid="{00000000-0005-0000-0000-0000AB680000}"/>
    <cellStyle name="Обычный 57 2" xfId="27885" xr:uid="{00000000-0005-0000-0000-0000AC680000}"/>
    <cellStyle name="Обычный 58" xfId="26801" xr:uid="{00000000-0005-0000-0000-0000AD680000}"/>
    <cellStyle name="Обычный 59" xfId="26835" xr:uid="{00000000-0005-0000-0000-0000AE680000}"/>
    <cellStyle name="Обычный 6" xfId="25627" xr:uid="{00000000-0005-0000-0000-0000AF680000}"/>
    <cellStyle name="Обычный 6 2" xfId="25628" xr:uid="{00000000-0005-0000-0000-0000B0680000}"/>
    <cellStyle name="Обычный 6 2 2" xfId="25629" xr:uid="{00000000-0005-0000-0000-0000B1680000}"/>
    <cellStyle name="Обычный 6 3" xfId="27833" xr:uid="{00000000-0005-0000-0000-0000B2680000}"/>
    <cellStyle name="Обычный 60" xfId="26815" xr:uid="{00000000-0005-0000-0000-0000B3680000}"/>
    <cellStyle name="Обычный 60 2" xfId="28296" xr:uid="{00000000-0005-0000-0000-0000B4680000}"/>
    <cellStyle name="Обычный 61" xfId="27261" xr:uid="{00000000-0005-0000-0000-0000B5680000}"/>
    <cellStyle name="Обычный 62" xfId="26803" xr:uid="{00000000-0005-0000-0000-0000B6680000}"/>
    <cellStyle name="Обычный 63" xfId="26816" xr:uid="{00000000-0005-0000-0000-0000B7680000}"/>
    <cellStyle name="Обычный 64" xfId="26842" xr:uid="{00000000-0005-0000-0000-0000B8680000}"/>
    <cellStyle name="Обычный 65" xfId="27104" xr:uid="{00000000-0005-0000-0000-0000B9680000}"/>
    <cellStyle name="Обычный 66" xfId="27346" xr:uid="{00000000-0005-0000-0000-0000BA680000}"/>
    <cellStyle name="Обычный 67" xfId="26822" xr:uid="{00000000-0005-0000-0000-0000BB680000}"/>
    <cellStyle name="Обычный 68" xfId="26824" xr:uid="{00000000-0005-0000-0000-0000BC680000}"/>
    <cellStyle name="Обычный 69" xfId="25630" xr:uid="{00000000-0005-0000-0000-0000BD680000}"/>
    <cellStyle name="Обычный 69 2" xfId="25631" xr:uid="{00000000-0005-0000-0000-0000BE680000}"/>
    <cellStyle name="Обычный 7" xfId="25632" xr:uid="{00000000-0005-0000-0000-0000BF680000}"/>
    <cellStyle name="Обычный 7 2" xfId="25633" xr:uid="{00000000-0005-0000-0000-0000C0680000}"/>
    <cellStyle name="Обычный 7 2 2" xfId="27838" xr:uid="{00000000-0005-0000-0000-0000C1680000}"/>
    <cellStyle name="Обычный 7 3" xfId="25634" xr:uid="{00000000-0005-0000-0000-0000C2680000}"/>
    <cellStyle name="Обычный 7 4" xfId="27834" xr:uid="{00000000-0005-0000-0000-0000C3680000}"/>
    <cellStyle name="Обычный 7 4 2" xfId="27894" xr:uid="{00000000-0005-0000-0000-0000C4680000}"/>
    <cellStyle name="Обычный 70" xfId="25635" xr:uid="{00000000-0005-0000-0000-0000C5680000}"/>
    <cellStyle name="Обычный 70 2" xfId="25636" xr:uid="{00000000-0005-0000-0000-0000C6680000}"/>
    <cellStyle name="Обычный 71" xfId="25637" xr:uid="{00000000-0005-0000-0000-0000C7680000}"/>
    <cellStyle name="Обычный 71 2" xfId="25638" xr:uid="{00000000-0005-0000-0000-0000C8680000}"/>
    <cellStyle name="Обычный 72" xfId="25639" xr:uid="{00000000-0005-0000-0000-0000C9680000}"/>
    <cellStyle name="Обычный 72 2" xfId="25640" xr:uid="{00000000-0005-0000-0000-0000CA680000}"/>
    <cellStyle name="Обычный 73" xfId="26802" xr:uid="{00000000-0005-0000-0000-0000CB680000}"/>
    <cellStyle name="Обычный 74" xfId="26812" xr:uid="{00000000-0005-0000-0000-0000CC680000}"/>
    <cellStyle name="Обычный 75" xfId="25641" xr:uid="{00000000-0005-0000-0000-0000CD680000}"/>
    <cellStyle name="Обычный 75 2" xfId="25642" xr:uid="{00000000-0005-0000-0000-0000CE680000}"/>
    <cellStyle name="Обычный 76" xfId="26966" xr:uid="{00000000-0005-0000-0000-0000CF680000}"/>
    <cellStyle name="Обычный 77" xfId="25643" xr:uid="{00000000-0005-0000-0000-0000D0680000}"/>
    <cellStyle name="Обычный 77 2" xfId="25644" xr:uid="{00000000-0005-0000-0000-0000D1680000}"/>
    <cellStyle name="Обычный 78" xfId="25645" xr:uid="{00000000-0005-0000-0000-0000D2680000}"/>
    <cellStyle name="Обычный 78 2" xfId="25646" xr:uid="{00000000-0005-0000-0000-0000D3680000}"/>
    <cellStyle name="Обычный 79" xfId="25647" xr:uid="{00000000-0005-0000-0000-0000D4680000}"/>
    <cellStyle name="Обычный 79 2" xfId="25648" xr:uid="{00000000-0005-0000-0000-0000D5680000}"/>
    <cellStyle name="Обычный 8" xfId="25649" xr:uid="{00000000-0005-0000-0000-0000D6680000}"/>
    <cellStyle name="Обычный 8 2" xfId="27857" xr:uid="{00000000-0005-0000-0000-0000D7680000}"/>
    <cellStyle name="Обычный 80" xfId="26806" xr:uid="{00000000-0005-0000-0000-0000D8680000}"/>
    <cellStyle name="Обычный 81" xfId="27259" xr:uid="{00000000-0005-0000-0000-0000D9680000}"/>
    <cellStyle name="Обычный 82" xfId="27120" xr:uid="{00000000-0005-0000-0000-0000DA680000}"/>
    <cellStyle name="Обычный 83" xfId="27258" xr:uid="{00000000-0005-0000-0000-0000DB680000}"/>
    <cellStyle name="Обычный 84" xfId="27255" xr:uid="{00000000-0005-0000-0000-0000DC680000}"/>
    <cellStyle name="Обычный 85" xfId="26825" xr:uid="{00000000-0005-0000-0000-0000DD680000}"/>
    <cellStyle name="Обычный 86" xfId="27537" xr:uid="{00000000-0005-0000-0000-0000DE680000}"/>
    <cellStyle name="Обычный 87" xfId="27538" xr:uid="{00000000-0005-0000-0000-0000DF680000}"/>
    <cellStyle name="Обычный 88" xfId="27260" xr:uid="{00000000-0005-0000-0000-0000E0680000}"/>
    <cellStyle name="Обычный 89" xfId="26821" xr:uid="{00000000-0005-0000-0000-0000E1680000}"/>
    <cellStyle name="Обычный 9" xfId="25650" xr:uid="{00000000-0005-0000-0000-0000E2680000}"/>
    <cellStyle name="Обычный 9 2" xfId="25651" xr:uid="{00000000-0005-0000-0000-0000E3680000}"/>
    <cellStyle name="Обычный 90" xfId="27775" xr:uid="{00000000-0005-0000-0000-0000E4680000}"/>
    <cellStyle name="Обычный 91" xfId="27257" xr:uid="{00000000-0005-0000-0000-0000E5680000}"/>
    <cellStyle name="Обычный 92" xfId="26823" xr:uid="{00000000-0005-0000-0000-0000E6680000}"/>
    <cellStyle name="Обычный 93" xfId="27776" xr:uid="{00000000-0005-0000-0000-0000E7680000}"/>
    <cellStyle name="Обычный 94" xfId="27256" xr:uid="{00000000-0005-0000-0000-0000E8680000}"/>
    <cellStyle name="Обычный 95" xfId="26807" xr:uid="{00000000-0005-0000-0000-0000E9680000}"/>
    <cellStyle name="Обычный 96" xfId="27452" xr:uid="{00000000-0005-0000-0000-0000EA680000}"/>
    <cellStyle name="Обычный 97" xfId="27783" xr:uid="{00000000-0005-0000-0000-0000EB680000}"/>
    <cellStyle name="Обычный 97 2" xfId="27886" xr:uid="{00000000-0005-0000-0000-0000EC680000}"/>
    <cellStyle name="Обычный 98" xfId="27784" xr:uid="{00000000-0005-0000-0000-0000ED680000}"/>
    <cellStyle name="Обычный 98 2" xfId="27887" xr:uid="{00000000-0005-0000-0000-0000EE680000}"/>
    <cellStyle name="Обычный 99" xfId="27785" xr:uid="{00000000-0005-0000-0000-0000EF680000}"/>
    <cellStyle name="Обычный 99 2" xfId="27888" xr:uid="{00000000-0005-0000-0000-0000F0680000}"/>
    <cellStyle name="Открывавшаяся гиперссылка" xfId="25652" xr:uid="{00000000-0005-0000-0000-0000F1680000}"/>
    <cellStyle name="Плохой 10" xfId="25653" xr:uid="{00000000-0005-0000-0000-0000F2680000}"/>
    <cellStyle name="Плохой 10 2" xfId="25654" xr:uid="{00000000-0005-0000-0000-0000F3680000}"/>
    <cellStyle name="Плохой 100" xfId="25655" xr:uid="{00000000-0005-0000-0000-0000F4680000}"/>
    <cellStyle name="Плохой 101" xfId="25656" xr:uid="{00000000-0005-0000-0000-0000F5680000}"/>
    <cellStyle name="Плохой 102" xfId="25657" xr:uid="{00000000-0005-0000-0000-0000F6680000}"/>
    <cellStyle name="Плохой 103" xfId="25658" xr:uid="{00000000-0005-0000-0000-0000F7680000}"/>
    <cellStyle name="Плохой 104" xfId="25659" xr:uid="{00000000-0005-0000-0000-0000F8680000}"/>
    <cellStyle name="Плохой 105" xfId="25660" xr:uid="{00000000-0005-0000-0000-0000F9680000}"/>
    <cellStyle name="Плохой 106" xfId="25661" xr:uid="{00000000-0005-0000-0000-0000FA680000}"/>
    <cellStyle name="Плохой 107" xfId="25662" xr:uid="{00000000-0005-0000-0000-0000FB680000}"/>
    <cellStyle name="Плохой 108" xfId="25663" xr:uid="{00000000-0005-0000-0000-0000FC680000}"/>
    <cellStyle name="Плохой 109" xfId="25664" xr:uid="{00000000-0005-0000-0000-0000FD680000}"/>
    <cellStyle name="Плохой 11" xfId="25665" xr:uid="{00000000-0005-0000-0000-0000FE680000}"/>
    <cellStyle name="Плохой 11 2" xfId="25666" xr:uid="{00000000-0005-0000-0000-0000FF680000}"/>
    <cellStyle name="Плохой 11 3" xfId="26828" xr:uid="{00000000-0005-0000-0000-000000690000}"/>
    <cellStyle name="Плохой 110" xfId="25667" xr:uid="{00000000-0005-0000-0000-000001690000}"/>
    <cellStyle name="Плохой 111" xfId="25668" xr:uid="{00000000-0005-0000-0000-000002690000}"/>
    <cellStyle name="Плохой 112" xfId="25669" xr:uid="{00000000-0005-0000-0000-000003690000}"/>
    <cellStyle name="Плохой 113" xfId="25670" xr:uid="{00000000-0005-0000-0000-000004690000}"/>
    <cellStyle name="Плохой 114" xfId="25671" xr:uid="{00000000-0005-0000-0000-000005690000}"/>
    <cellStyle name="Плохой 115" xfId="25672" xr:uid="{00000000-0005-0000-0000-000006690000}"/>
    <cellStyle name="Плохой 116" xfId="25673" xr:uid="{00000000-0005-0000-0000-000007690000}"/>
    <cellStyle name="Плохой 117" xfId="25674" xr:uid="{00000000-0005-0000-0000-000008690000}"/>
    <cellStyle name="Плохой 118" xfId="25675" xr:uid="{00000000-0005-0000-0000-000009690000}"/>
    <cellStyle name="Плохой 119" xfId="25676" xr:uid="{00000000-0005-0000-0000-00000A690000}"/>
    <cellStyle name="Плохой 12" xfId="25677" xr:uid="{00000000-0005-0000-0000-00000B690000}"/>
    <cellStyle name="Плохой 12 2" xfId="26864" xr:uid="{00000000-0005-0000-0000-00000C690000}"/>
    <cellStyle name="Плохой 120" xfId="25678" xr:uid="{00000000-0005-0000-0000-00000D690000}"/>
    <cellStyle name="Плохой 121" xfId="25679" xr:uid="{00000000-0005-0000-0000-00000E690000}"/>
    <cellStyle name="Плохой 122" xfId="25680" xr:uid="{00000000-0005-0000-0000-00000F690000}"/>
    <cellStyle name="Плохой 123" xfId="25681" xr:uid="{00000000-0005-0000-0000-000010690000}"/>
    <cellStyle name="Плохой 124" xfId="25682" xr:uid="{00000000-0005-0000-0000-000011690000}"/>
    <cellStyle name="Плохой 125" xfId="25683" xr:uid="{00000000-0005-0000-0000-000012690000}"/>
    <cellStyle name="Плохой 126" xfId="25684" xr:uid="{00000000-0005-0000-0000-000013690000}"/>
    <cellStyle name="Плохой 127" xfId="25685" xr:uid="{00000000-0005-0000-0000-000014690000}"/>
    <cellStyle name="Плохой 128" xfId="25686" xr:uid="{00000000-0005-0000-0000-000015690000}"/>
    <cellStyle name="Плохой 129" xfId="25687" xr:uid="{00000000-0005-0000-0000-000016690000}"/>
    <cellStyle name="Плохой 13" xfId="25688" xr:uid="{00000000-0005-0000-0000-000017690000}"/>
    <cellStyle name="Плохой 13 2" xfId="26881" xr:uid="{00000000-0005-0000-0000-000018690000}"/>
    <cellStyle name="Плохой 130" xfId="25689" xr:uid="{00000000-0005-0000-0000-000019690000}"/>
    <cellStyle name="Плохой 131" xfId="25690" xr:uid="{00000000-0005-0000-0000-00001A690000}"/>
    <cellStyle name="Плохой 132" xfId="25691" xr:uid="{00000000-0005-0000-0000-00001B690000}"/>
    <cellStyle name="Плохой 133" xfId="25692" xr:uid="{00000000-0005-0000-0000-00001C690000}"/>
    <cellStyle name="Плохой 134" xfId="25693" xr:uid="{00000000-0005-0000-0000-00001D690000}"/>
    <cellStyle name="Плохой 135" xfId="25694" xr:uid="{00000000-0005-0000-0000-00001E690000}"/>
    <cellStyle name="Плохой 136" xfId="25695" xr:uid="{00000000-0005-0000-0000-00001F690000}"/>
    <cellStyle name="Плохой 137" xfId="25696" xr:uid="{00000000-0005-0000-0000-000020690000}"/>
    <cellStyle name="Плохой 138" xfId="25697" xr:uid="{00000000-0005-0000-0000-000021690000}"/>
    <cellStyle name="Плохой 139" xfId="25698" xr:uid="{00000000-0005-0000-0000-000022690000}"/>
    <cellStyle name="Плохой 14" xfId="25699" xr:uid="{00000000-0005-0000-0000-000023690000}"/>
    <cellStyle name="Плохой 14 2" xfId="26851" xr:uid="{00000000-0005-0000-0000-000024690000}"/>
    <cellStyle name="Плохой 140" xfId="25700" xr:uid="{00000000-0005-0000-0000-000025690000}"/>
    <cellStyle name="Плохой 141" xfId="25701" xr:uid="{00000000-0005-0000-0000-000026690000}"/>
    <cellStyle name="Плохой 142" xfId="25702" xr:uid="{00000000-0005-0000-0000-000027690000}"/>
    <cellStyle name="Плохой 143" xfId="25703" xr:uid="{00000000-0005-0000-0000-000028690000}"/>
    <cellStyle name="Плохой 144" xfId="25704" xr:uid="{00000000-0005-0000-0000-000029690000}"/>
    <cellStyle name="Плохой 145" xfId="25705" xr:uid="{00000000-0005-0000-0000-00002A690000}"/>
    <cellStyle name="Плохой 146" xfId="25706" xr:uid="{00000000-0005-0000-0000-00002B690000}"/>
    <cellStyle name="Плохой 147" xfId="25707" xr:uid="{00000000-0005-0000-0000-00002C690000}"/>
    <cellStyle name="Плохой 148" xfId="25708" xr:uid="{00000000-0005-0000-0000-00002D690000}"/>
    <cellStyle name="Плохой 149" xfId="25709" xr:uid="{00000000-0005-0000-0000-00002E690000}"/>
    <cellStyle name="Плохой 15" xfId="25710" xr:uid="{00000000-0005-0000-0000-00002F690000}"/>
    <cellStyle name="Плохой 15 2" xfId="26911" xr:uid="{00000000-0005-0000-0000-000030690000}"/>
    <cellStyle name="Плохой 150" xfId="25711" xr:uid="{00000000-0005-0000-0000-000031690000}"/>
    <cellStyle name="Плохой 151" xfId="25712" xr:uid="{00000000-0005-0000-0000-000032690000}"/>
    <cellStyle name="Плохой 152" xfId="25713" xr:uid="{00000000-0005-0000-0000-000033690000}"/>
    <cellStyle name="Плохой 153" xfId="25714" xr:uid="{00000000-0005-0000-0000-000034690000}"/>
    <cellStyle name="Плохой 154" xfId="25715" xr:uid="{00000000-0005-0000-0000-000035690000}"/>
    <cellStyle name="Плохой 155" xfId="25716" xr:uid="{00000000-0005-0000-0000-000036690000}"/>
    <cellStyle name="Плохой 156" xfId="25717" xr:uid="{00000000-0005-0000-0000-000037690000}"/>
    <cellStyle name="Плохой 157" xfId="25718" xr:uid="{00000000-0005-0000-0000-000038690000}"/>
    <cellStyle name="Плохой 158" xfId="25719" xr:uid="{00000000-0005-0000-0000-000039690000}"/>
    <cellStyle name="Плохой 159" xfId="25720" xr:uid="{00000000-0005-0000-0000-00003A690000}"/>
    <cellStyle name="Плохой 16" xfId="25721" xr:uid="{00000000-0005-0000-0000-00003B690000}"/>
    <cellStyle name="Плохой 16 2" xfId="26929" xr:uid="{00000000-0005-0000-0000-00003C690000}"/>
    <cellStyle name="Плохой 160" xfId="25722" xr:uid="{00000000-0005-0000-0000-00003D690000}"/>
    <cellStyle name="Плохой 161" xfId="25723" xr:uid="{00000000-0005-0000-0000-00003E690000}"/>
    <cellStyle name="Плохой 162" xfId="25724" xr:uid="{00000000-0005-0000-0000-00003F690000}"/>
    <cellStyle name="Плохой 163" xfId="25725" xr:uid="{00000000-0005-0000-0000-000040690000}"/>
    <cellStyle name="Плохой 164" xfId="25726" xr:uid="{00000000-0005-0000-0000-000041690000}"/>
    <cellStyle name="Плохой 165" xfId="25727" xr:uid="{00000000-0005-0000-0000-000042690000}"/>
    <cellStyle name="Плохой 166" xfId="25728" xr:uid="{00000000-0005-0000-0000-000043690000}"/>
    <cellStyle name="Плохой 167" xfId="25729" xr:uid="{00000000-0005-0000-0000-000044690000}"/>
    <cellStyle name="Плохой 168" xfId="25730" xr:uid="{00000000-0005-0000-0000-000045690000}"/>
    <cellStyle name="Плохой 169" xfId="25731" xr:uid="{00000000-0005-0000-0000-000046690000}"/>
    <cellStyle name="Плохой 17" xfId="25732" xr:uid="{00000000-0005-0000-0000-000047690000}"/>
    <cellStyle name="Плохой 17 2" xfId="26899" xr:uid="{00000000-0005-0000-0000-000048690000}"/>
    <cellStyle name="Плохой 170" xfId="25733" xr:uid="{00000000-0005-0000-0000-000049690000}"/>
    <cellStyle name="Плохой 171" xfId="25734" xr:uid="{00000000-0005-0000-0000-00004A690000}"/>
    <cellStyle name="Плохой 172" xfId="25735" xr:uid="{00000000-0005-0000-0000-00004B690000}"/>
    <cellStyle name="Плохой 18" xfId="25736" xr:uid="{00000000-0005-0000-0000-00004C690000}"/>
    <cellStyle name="Плохой 18 2" xfId="26963" xr:uid="{00000000-0005-0000-0000-00004D690000}"/>
    <cellStyle name="Плохой 19" xfId="25737" xr:uid="{00000000-0005-0000-0000-00004E690000}"/>
    <cellStyle name="Плохой 19 2" xfId="26983" xr:uid="{00000000-0005-0000-0000-00004F690000}"/>
    <cellStyle name="Плохой 2" xfId="25738" xr:uid="{00000000-0005-0000-0000-000050690000}"/>
    <cellStyle name="Плохой 2 2" xfId="25739" xr:uid="{00000000-0005-0000-0000-000051690000}"/>
    <cellStyle name="Плохой 2 3" xfId="25740" xr:uid="{00000000-0005-0000-0000-000052690000}"/>
    <cellStyle name="Плохой 2 4" xfId="28132" xr:uid="{00000000-0005-0000-0000-000053690000}"/>
    <cellStyle name="Плохой 20" xfId="25741" xr:uid="{00000000-0005-0000-0000-000054690000}"/>
    <cellStyle name="Плохой 20 2" xfId="26950" xr:uid="{00000000-0005-0000-0000-000055690000}"/>
    <cellStyle name="Плохой 21" xfId="25742" xr:uid="{00000000-0005-0000-0000-000056690000}"/>
    <cellStyle name="Плохой 21 2" xfId="26996" xr:uid="{00000000-0005-0000-0000-000057690000}"/>
    <cellStyle name="Плохой 22" xfId="25743" xr:uid="{00000000-0005-0000-0000-000058690000}"/>
    <cellStyle name="Плохой 22 2" xfId="27011" xr:uid="{00000000-0005-0000-0000-000059690000}"/>
    <cellStyle name="Плохой 23" xfId="25744" xr:uid="{00000000-0005-0000-0000-00005A690000}"/>
    <cellStyle name="Плохой 23 2" xfId="27023" xr:uid="{00000000-0005-0000-0000-00005B690000}"/>
    <cellStyle name="Плохой 24" xfId="25745" xr:uid="{00000000-0005-0000-0000-00005C690000}"/>
    <cellStyle name="Плохой 24 2" xfId="27056" xr:uid="{00000000-0005-0000-0000-00005D690000}"/>
    <cellStyle name="Плохой 25" xfId="25746" xr:uid="{00000000-0005-0000-0000-00005E690000}"/>
    <cellStyle name="Плохой 25 2" xfId="27075" xr:uid="{00000000-0005-0000-0000-00005F690000}"/>
    <cellStyle name="Плохой 26" xfId="25747" xr:uid="{00000000-0005-0000-0000-000060690000}"/>
    <cellStyle name="Плохой 26 2" xfId="27044" xr:uid="{00000000-0005-0000-0000-000061690000}"/>
    <cellStyle name="Плохой 27" xfId="25748" xr:uid="{00000000-0005-0000-0000-000062690000}"/>
    <cellStyle name="Плохой 27 2" xfId="27087" xr:uid="{00000000-0005-0000-0000-000063690000}"/>
    <cellStyle name="Плохой 28" xfId="25749" xr:uid="{00000000-0005-0000-0000-000064690000}"/>
    <cellStyle name="Плохой 28 2" xfId="27122" xr:uid="{00000000-0005-0000-0000-000065690000}"/>
    <cellStyle name="Плохой 29" xfId="25750" xr:uid="{00000000-0005-0000-0000-000066690000}"/>
    <cellStyle name="Плохой 29 2" xfId="27140" xr:uid="{00000000-0005-0000-0000-000067690000}"/>
    <cellStyle name="Плохой 3" xfId="25751" xr:uid="{00000000-0005-0000-0000-000068690000}"/>
    <cellStyle name="Плохой 3 2" xfId="25752" xr:uid="{00000000-0005-0000-0000-000069690000}"/>
    <cellStyle name="Плохой 3 3" xfId="25753" xr:uid="{00000000-0005-0000-0000-00006A690000}"/>
    <cellStyle name="Плохой 30" xfId="25754" xr:uid="{00000000-0005-0000-0000-00006B690000}"/>
    <cellStyle name="Плохой 30 2" xfId="27109" xr:uid="{00000000-0005-0000-0000-00006C690000}"/>
    <cellStyle name="Плохой 31" xfId="25755" xr:uid="{00000000-0005-0000-0000-00006D690000}"/>
    <cellStyle name="Плохой 31 2" xfId="27161" xr:uid="{00000000-0005-0000-0000-00006E690000}"/>
    <cellStyle name="Плохой 32" xfId="25756" xr:uid="{00000000-0005-0000-0000-00006F690000}"/>
    <cellStyle name="Плохой 32 2" xfId="27177" xr:uid="{00000000-0005-0000-0000-000070690000}"/>
    <cellStyle name="Плохой 33" xfId="25757" xr:uid="{00000000-0005-0000-0000-000071690000}"/>
    <cellStyle name="Плохой 33 2" xfId="27203" xr:uid="{00000000-0005-0000-0000-000072690000}"/>
    <cellStyle name="Плохой 34" xfId="25758" xr:uid="{00000000-0005-0000-0000-000073690000}"/>
    <cellStyle name="Плохой 34 2" xfId="27193" xr:uid="{00000000-0005-0000-0000-000074690000}"/>
    <cellStyle name="Плохой 35" xfId="25759" xr:uid="{00000000-0005-0000-0000-000075690000}"/>
    <cellStyle name="Плохой 35 2" xfId="27244" xr:uid="{00000000-0005-0000-0000-000076690000}"/>
    <cellStyle name="Плохой 36" xfId="25760" xr:uid="{00000000-0005-0000-0000-000077690000}"/>
    <cellStyle name="Плохой 36 2" xfId="27279" xr:uid="{00000000-0005-0000-0000-000078690000}"/>
    <cellStyle name="Плохой 37" xfId="25761" xr:uid="{00000000-0005-0000-0000-000079690000}"/>
    <cellStyle name="Плохой 37 2" xfId="27311" xr:uid="{00000000-0005-0000-0000-00007A690000}"/>
    <cellStyle name="Плохой 38" xfId="25762" xr:uid="{00000000-0005-0000-0000-00007B690000}"/>
    <cellStyle name="Плохой 38 2" xfId="27265" xr:uid="{00000000-0005-0000-0000-00007C690000}"/>
    <cellStyle name="Плохой 39" xfId="25763" xr:uid="{00000000-0005-0000-0000-00007D690000}"/>
    <cellStyle name="Плохой 39 2" xfId="27323" xr:uid="{00000000-0005-0000-0000-00007E690000}"/>
    <cellStyle name="Плохой 4" xfId="25764" xr:uid="{00000000-0005-0000-0000-00007F690000}"/>
    <cellStyle name="Плохой 4 2" xfId="25765" xr:uid="{00000000-0005-0000-0000-000080690000}"/>
    <cellStyle name="Плохой 40" xfId="25766" xr:uid="{00000000-0005-0000-0000-000081690000}"/>
    <cellStyle name="Плохой 40 2" xfId="27371" xr:uid="{00000000-0005-0000-0000-000082690000}"/>
    <cellStyle name="Плохой 41" xfId="25767" xr:uid="{00000000-0005-0000-0000-000083690000}"/>
    <cellStyle name="Плохой 41 2" xfId="27388" xr:uid="{00000000-0005-0000-0000-000084690000}"/>
    <cellStyle name="Плохой 42" xfId="25768" xr:uid="{00000000-0005-0000-0000-000085690000}"/>
    <cellStyle name="Плохой 42 2" xfId="27409" xr:uid="{00000000-0005-0000-0000-000086690000}"/>
    <cellStyle name="Плохой 43" xfId="25769" xr:uid="{00000000-0005-0000-0000-000087690000}"/>
    <cellStyle name="Плохой 43 2" xfId="27402" xr:uid="{00000000-0005-0000-0000-000088690000}"/>
    <cellStyle name="Плохой 44" xfId="25770" xr:uid="{00000000-0005-0000-0000-000089690000}"/>
    <cellStyle name="Плохой 44 2" xfId="27441" xr:uid="{00000000-0005-0000-0000-00008A690000}"/>
    <cellStyle name="Плохой 45" xfId="25771" xr:uid="{00000000-0005-0000-0000-00008B690000}"/>
    <cellStyle name="Плохой 45 2" xfId="27474" xr:uid="{00000000-0005-0000-0000-00008C690000}"/>
    <cellStyle name="Плохой 46" xfId="25772" xr:uid="{00000000-0005-0000-0000-00008D690000}"/>
    <cellStyle name="Плохой 46 2" xfId="27501" xr:uid="{00000000-0005-0000-0000-00008E690000}"/>
    <cellStyle name="Плохой 47" xfId="25773" xr:uid="{00000000-0005-0000-0000-00008F690000}"/>
    <cellStyle name="Плохой 47 2" xfId="27457" xr:uid="{00000000-0005-0000-0000-000090690000}"/>
    <cellStyle name="Плохой 48" xfId="25774" xr:uid="{00000000-0005-0000-0000-000091690000}"/>
    <cellStyle name="Плохой 48 2" xfId="27515" xr:uid="{00000000-0005-0000-0000-000092690000}"/>
    <cellStyle name="Плохой 49" xfId="25775" xr:uid="{00000000-0005-0000-0000-000093690000}"/>
    <cellStyle name="Плохой 49 2" xfId="27561" xr:uid="{00000000-0005-0000-0000-000094690000}"/>
    <cellStyle name="Плохой 5" xfId="25776" xr:uid="{00000000-0005-0000-0000-000095690000}"/>
    <cellStyle name="Плохой 5 2" xfId="25777" xr:uid="{00000000-0005-0000-0000-000096690000}"/>
    <cellStyle name="Плохой 50" xfId="25778" xr:uid="{00000000-0005-0000-0000-000097690000}"/>
    <cellStyle name="Плохой 50 2" xfId="27587" xr:uid="{00000000-0005-0000-0000-000098690000}"/>
    <cellStyle name="Плохой 51" xfId="25779" xr:uid="{00000000-0005-0000-0000-000099690000}"/>
    <cellStyle name="Плохой 51 2" xfId="27543" xr:uid="{00000000-0005-0000-0000-00009A690000}"/>
    <cellStyle name="Плохой 52" xfId="25780" xr:uid="{00000000-0005-0000-0000-00009B690000}"/>
    <cellStyle name="Плохой 52 2" xfId="27605" xr:uid="{00000000-0005-0000-0000-00009C690000}"/>
    <cellStyle name="Плохой 53" xfId="25781" xr:uid="{00000000-0005-0000-0000-00009D690000}"/>
    <cellStyle name="Плохой 53 2" xfId="27597" xr:uid="{00000000-0005-0000-0000-00009E690000}"/>
    <cellStyle name="Плохой 54" xfId="25782" xr:uid="{00000000-0005-0000-0000-00009F690000}"/>
    <cellStyle name="Плохой 54 2" xfId="27673" xr:uid="{00000000-0005-0000-0000-0000A0690000}"/>
    <cellStyle name="Плохой 55" xfId="25783" xr:uid="{00000000-0005-0000-0000-0000A1690000}"/>
    <cellStyle name="Плохой 55 2" xfId="27704" xr:uid="{00000000-0005-0000-0000-0000A2690000}"/>
    <cellStyle name="Плохой 56" xfId="25784" xr:uid="{00000000-0005-0000-0000-0000A3690000}"/>
    <cellStyle name="Плохой 56 2" xfId="27656" xr:uid="{00000000-0005-0000-0000-0000A4690000}"/>
    <cellStyle name="Плохой 57" xfId="25785" xr:uid="{00000000-0005-0000-0000-0000A5690000}"/>
    <cellStyle name="Плохой 57 2" xfId="27718" xr:uid="{00000000-0005-0000-0000-0000A6690000}"/>
    <cellStyle name="Плохой 58" xfId="25786" xr:uid="{00000000-0005-0000-0000-0000A7690000}"/>
    <cellStyle name="Плохой 58 2" xfId="27732" xr:uid="{00000000-0005-0000-0000-0000A8690000}"/>
    <cellStyle name="Плохой 59" xfId="25787" xr:uid="{00000000-0005-0000-0000-0000A9690000}"/>
    <cellStyle name="Плохой 59 2" xfId="27760" xr:uid="{00000000-0005-0000-0000-0000AA690000}"/>
    <cellStyle name="Плохой 6" xfId="25788" xr:uid="{00000000-0005-0000-0000-0000AB690000}"/>
    <cellStyle name="Плохой 6 2" xfId="25789" xr:uid="{00000000-0005-0000-0000-0000AC690000}"/>
    <cellStyle name="Плохой 60" xfId="25790" xr:uid="{00000000-0005-0000-0000-0000AD690000}"/>
    <cellStyle name="Плохой 61" xfId="25791" xr:uid="{00000000-0005-0000-0000-0000AE690000}"/>
    <cellStyle name="Плохой 62" xfId="25792" xr:uid="{00000000-0005-0000-0000-0000AF690000}"/>
    <cellStyle name="Плохой 63" xfId="25793" xr:uid="{00000000-0005-0000-0000-0000B0690000}"/>
    <cellStyle name="Плохой 64" xfId="25794" xr:uid="{00000000-0005-0000-0000-0000B1690000}"/>
    <cellStyle name="Плохой 65" xfId="25795" xr:uid="{00000000-0005-0000-0000-0000B2690000}"/>
    <cellStyle name="Плохой 66" xfId="25796" xr:uid="{00000000-0005-0000-0000-0000B3690000}"/>
    <cellStyle name="Плохой 67" xfId="25797" xr:uid="{00000000-0005-0000-0000-0000B4690000}"/>
    <cellStyle name="Плохой 68" xfId="25798" xr:uid="{00000000-0005-0000-0000-0000B5690000}"/>
    <cellStyle name="Плохой 69" xfId="25799" xr:uid="{00000000-0005-0000-0000-0000B6690000}"/>
    <cellStyle name="Плохой 7" xfId="25800" xr:uid="{00000000-0005-0000-0000-0000B7690000}"/>
    <cellStyle name="Плохой 7 2" xfId="25801" xr:uid="{00000000-0005-0000-0000-0000B8690000}"/>
    <cellStyle name="Плохой 70" xfId="25802" xr:uid="{00000000-0005-0000-0000-0000B9690000}"/>
    <cellStyle name="Плохой 71" xfId="25803" xr:uid="{00000000-0005-0000-0000-0000BA690000}"/>
    <cellStyle name="Плохой 72" xfId="25804" xr:uid="{00000000-0005-0000-0000-0000BB690000}"/>
    <cellStyle name="Плохой 73" xfId="25805" xr:uid="{00000000-0005-0000-0000-0000BC690000}"/>
    <cellStyle name="Плохой 74" xfId="25806" xr:uid="{00000000-0005-0000-0000-0000BD690000}"/>
    <cellStyle name="Плохой 75" xfId="25807" xr:uid="{00000000-0005-0000-0000-0000BE690000}"/>
    <cellStyle name="Плохой 76" xfId="25808" xr:uid="{00000000-0005-0000-0000-0000BF690000}"/>
    <cellStyle name="Плохой 77" xfId="25809" xr:uid="{00000000-0005-0000-0000-0000C0690000}"/>
    <cellStyle name="Плохой 78" xfId="25810" xr:uid="{00000000-0005-0000-0000-0000C1690000}"/>
    <cellStyle name="Плохой 79" xfId="25811" xr:uid="{00000000-0005-0000-0000-0000C2690000}"/>
    <cellStyle name="Плохой 8" xfId="25812" xr:uid="{00000000-0005-0000-0000-0000C3690000}"/>
    <cellStyle name="Плохой 8 2" xfId="25813" xr:uid="{00000000-0005-0000-0000-0000C4690000}"/>
    <cellStyle name="Плохой 80" xfId="25814" xr:uid="{00000000-0005-0000-0000-0000C5690000}"/>
    <cellStyle name="Плохой 81" xfId="25815" xr:uid="{00000000-0005-0000-0000-0000C6690000}"/>
    <cellStyle name="Плохой 82" xfId="25816" xr:uid="{00000000-0005-0000-0000-0000C7690000}"/>
    <cellStyle name="Плохой 83" xfId="25817" xr:uid="{00000000-0005-0000-0000-0000C8690000}"/>
    <cellStyle name="Плохой 84" xfId="25818" xr:uid="{00000000-0005-0000-0000-0000C9690000}"/>
    <cellStyle name="Плохой 85" xfId="25819" xr:uid="{00000000-0005-0000-0000-0000CA690000}"/>
    <cellStyle name="Плохой 86" xfId="25820" xr:uid="{00000000-0005-0000-0000-0000CB690000}"/>
    <cellStyle name="Плохой 87" xfId="25821" xr:uid="{00000000-0005-0000-0000-0000CC690000}"/>
    <cellStyle name="Плохой 88" xfId="25822" xr:uid="{00000000-0005-0000-0000-0000CD690000}"/>
    <cellStyle name="Плохой 89" xfId="25823" xr:uid="{00000000-0005-0000-0000-0000CE690000}"/>
    <cellStyle name="Плохой 9" xfId="25824" xr:uid="{00000000-0005-0000-0000-0000CF690000}"/>
    <cellStyle name="Плохой 9 2" xfId="25825" xr:uid="{00000000-0005-0000-0000-0000D0690000}"/>
    <cellStyle name="Плохой 90" xfId="25826" xr:uid="{00000000-0005-0000-0000-0000D1690000}"/>
    <cellStyle name="Плохой 91" xfId="25827" xr:uid="{00000000-0005-0000-0000-0000D2690000}"/>
    <cellStyle name="Плохой 92" xfId="25828" xr:uid="{00000000-0005-0000-0000-0000D3690000}"/>
    <cellStyle name="Плохой 93" xfId="25829" xr:uid="{00000000-0005-0000-0000-0000D4690000}"/>
    <cellStyle name="Плохой 94" xfId="25830" xr:uid="{00000000-0005-0000-0000-0000D5690000}"/>
    <cellStyle name="Плохой 95" xfId="25831" xr:uid="{00000000-0005-0000-0000-0000D6690000}"/>
    <cellStyle name="Плохой 96" xfId="25832" xr:uid="{00000000-0005-0000-0000-0000D7690000}"/>
    <cellStyle name="Плохой 97" xfId="25833" xr:uid="{00000000-0005-0000-0000-0000D8690000}"/>
    <cellStyle name="Плохой 98" xfId="25834" xr:uid="{00000000-0005-0000-0000-0000D9690000}"/>
    <cellStyle name="Плохой 99" xfId="25835" xr:uid="{00000000-0005-0000-0000-0000DA690000}"/>
    <cellStyle name="Пояснение 2" xfId="25836" xr:uid="{00000000-0005-0000-0000-0000DB690000}"/>
    <cellStyle name="Примечание 10" xfId="25837" xr:uid="{00000000-0005-0000-0000-0000DC690000}"/>
    <cellStyle name="Примечание 10 2" xfId="25838" xr:uid="{00000000-0005-0000-0000-0000DD690000}"/>
    <cellStyle name="Примечание 10 3" xfId="25839" xr:uid="{00000000-0005-0000-0000-0000DE690000}"/>
    <cellStyle name="Примечание 10 4" xfId="25840" xr:uid="{00000000-0005-0000-0000-0000DF690000}"/>
    <cellStyle name="Примечание 10 5" xfId="25841" xr:uid="{00000000-0005-0000-0000-0000E0690000}"/>
    <cellStyle name="Примечание 10 6" xfId="25842" xr:uid="{00000000-0005-0000-0000-0000E1690000}"/>
    <cellStyle name="Примечание 100" xfId="25843" xr:uid="{00000000-0005-0000-0000-0000E2690000}"/>
    <cellStyle name="Примечание 101" xfId="25844" xr:uid="{00000000-0005-0000-0000-0000E3690000}"/>
    <cellStyle name="Примечание 102" xfId="25845" xr:uid="{00000000-0005-0000-0000-0000E4690000}"/>
    <cellStyle name="Примечание 103" xfId="25846" xr:uid="{00000000-0005-0000-0000-0000E5690000}"/>
    <cellStyle name="Примечание 104" xfId="25847" xr:uid="{00000000-0005-0000-0000-0000E6690000}"/>
    <cellStyle name="Примечание 105" xfId="25848" xr:uid="{00000000-0005-0000-0000-0000E7690000}"/>
    <cellStyle name="Примечание 106" xfId="25849" xr:uid="{00000000-0005-0000-0000-0000E8690000}"/>
    <cellStyle name="Примечание 107" xfId="25850" xr:uid="{00000000-0005-0000-0000-0000E9690000}"/>
    <cellStyle name="Примечание 108" xfId="25851" xr:uid="{00000000-0005-0000-0000-0000EA690000}"/>
    <cellStyle name="Примечание 109" xfId="25852" xr:uid="{00000000-0005-0000-0000-0000EB690000}"/>
    <cellStyle name="Примечание 11" xfId="25853" xr:uid="{00000000-0005-0000-0000-0000EC690000}"/>
    <cellStyle name="Примечание 11 2" xfId="25854" xr:uid="{00000000-0005-0000-0000-0000ED690000}"/>
    <cellStyle name="Примечание 11 3" xfId="25855" xr:uid="{00000000-0005-0000-0000-0000EE690000}"/>
    <cellStyle name="Примечание 11 4" xfId="25856" xr:uid="{00000000-0005-0000-0000-0000EF690000}"/>
    <cellStyle name="Примечание 11 5" xfId="25857" xr:uid="{00000000-0005-0000-0000-0000F0690000}"/>
    <cellStyle name="Примечание 11 6" xfId="25858" xr:uid="{00000000-0005-0000-0000-0000F1690000}"/>
    <cellStyle name="Примечание 11 7" xfId="25859" xr:uid="{00000000-0005-0000-0000-0000F2690000}"/>
    <cellStyle name="Примечание 110" xfId="25860" xr:uid="{00000000-0005-0000-0000-0000F3690000}"/>
    <cellStyle name="Примечание 111" xfId="25861" xr:uid="{00000000-0005-0000-0000-0000F4690000}"/>
    <cellStyle name="Примечание 112" xfId="25862" xr:uid="{00000000-0005-0000-0000-0000F5690000}"/>
    <cellStyle name="Примечание 113" xfId="25863" xr:uid="{00000000-0005-0000-0000-0000F6690000}"/>
    <cellStyle name="Примечание 114" xfId="25864" xr:uid="{00000000-0005-0000-0000-0000F7690000}"/>
    <cellStyle name="Примечание 115" xfId="25865" xr:uid="{00000000-0005-0000-0000-0000F8690000}"/>
    <cellStyle name="Примечание 116" xfId="25866" xr:uid="{00000000-0005-0000-0000-0000F9690000}"/>
    <cellStyle name="Примечание 117" xfId="25867" xr:uid="{00000000-0005-0000-0000-0000FA690000}"/>
    <cellStyle name="Примечание 118" xfId="25868" xr:uid="{00000000-0005-0000-0000-0000FB690000}"/>
    <cellStyle name="Примечание 119" xfId="25869" xr:uid="{00000000-0005-0000-0000-0000FC690000}"/>
    <cellStyle name="Примечание 12" xfId="25870" xr:uid="{00000000-0005-0000-0000-0000FD690000}"/>
    <cellStyle name="Примечание 12 2" xfId="25871" xr:uid="{00000000-0005-0000-0000-0000FE690000}"/>
    <cellStyle name="Примечание 12 3" xfId="25872" xr:uid="{00000000-0005-0000-0000-0000FF690000}"/>
    <cellStyle name="Примечание 12 4" xfId="25873" xr:uid="{00000000-0005-0000-0000-0000006A0000}"/>
    <cellStyle name="Примечание 12 5" xfId="25874" xr:uid="{00000000-0005-0000-0000-0000016A0000}"/>
    <cellStyle name="Примечание 12 6" xfId="25875" xr:uid="{00000000-0005-0000-0000-0000026A0000}"/>
    <cellStyle name="Примечание 120" xfId="25876" xr:uid="{00000000-0005-0000-0000-0000036A0000}"/>
    <cellStyle name="Примечание 121" xfId="25877" xr:uid="{00000000-0005-0000-0000-0000046A0000}"/>
    <cellStyle name="Примечание 122" xfId="25878" xr:uid="{00000000-0005-0000-0000-0000056A0000}"/>
    <cellStyle name="Примечание 123" xfId="25879" xr:uid="{00000000-0005-0000-0000-0000066A0000}"/>
    <cellStyle name="Примечание 124" xfId="25880" xr:uid="{00000000-0005-0000-0000-0000076A0000}"/>
    <cellStyle name="Примечание 125" xfId="25881" xr:uid="{00000000-0005-0000-0000-0000086A0000}"/>
    <cellStyle name="Примечание 126" xfId="25882" xr:uid="{00000000-0005-0000-0000-0000096A0000}"/>
    <cellStyle name="Примечание 127" xfId="25883" xr:uid="{00000000-0005-0000-0000-00000A6A0000}"/>
    <cellStyle name="Примечание 128" xfId="25884" xr:uid="{00000000-0005-0000-0000-00000B6A0000}"/>
    <cellStyle name="Примечание 129" xfId="25885" xr:uid="{00000000-0005-0000-0000-00000C6A0000}"/>
    <cellStyle name="Примечание 13" xfId="25886" xr:uid="{00000000-0005-0000-0000-00000D6A0000}"/>
    <cellStyle name="Примечание 13 2" xfId="25887" xr:uid="{00000000-0005-0000-0000-00000E6A0000}"/>
    <cellStyle name="Примечание 13 3" xfId="25888" xr:uid="{00000000-0005-0000-0000-00000F6A0000}"/>
    <cellStyle name="Примечание 13 4" xfId="25889" xr:uid="{00000000-0005-0000-0000-0000106A0000}"/>
    <cellStyle name="Примечание 13 5" xfId="25890" xr:uid="{00000000-0005-0000-0000-0000116A0000}"/>
    <cellStyle name="Примечание 13 6" xfId="25891" xr:uid="{00000000-0005-0000-0000-0000126A0000}"/>
    <cellStyle name="Примечание 130" xfId="25892" xr:uid="{00000000-0005-0000-0000-0000136A0000}"/>
    <cellStyle name="Примечание 131" xfId="25893" xr:uid="{00000000-0005-0000-0000-0000146A0000}"/>
    <cellStyle name="Примечание 132" xfId="25894" xr:uid="{00000000-0005-0000-0000-0000156A0000}"/>
    <cellStyle name="Примечание 133" xfId="25895" xr:uid="{00000000-0005-0000-0000-0000166A0000}"/>
    <cellStyle name="Примечание 134" xfId="25896" xr:uid="{00000000-0005-0000-0000-0000176A0000}"/>
    <cellStyle name="Примечание 135" xfId="25897" xr:uid="{00000000-0005-0000-0000-0000186A0000}"/>
    <cellStyle name="Примечание 136" xfId="25898" xr:uid="{00000000-0005-0000-0000-0000196A0000}"/>
    <cellStyle name="Примечание 137" xfId="25899" xr:uid="{00000000-0005-0000-0000-00001A6A0000}"/>
    <cellStyle name="Примечание 138" xfId="25900" xr:uid="{00000000-0005-0000-0000-00001B6A0000}"/>
    <cellStyle name="Примечание 139" xfId="25901" xr:uid="{00000000-0005-0000-0000-00001C6A0000}"/>
    <cellStyle name="Примечание 14" xfId="25902" xr:uid="{00000000-0005-0000-0000-00001D6A0000}"/>
    <cellStyle name="Примечание 14 2" xfId="25903" xr:uid="{00000000-0005-0000-0000-00001E6A0000}"/>
    <cellStyle name="Примечание 14 3" xfId="25904" xr:uid="{00000000-0005-0000-0000-00001F6A0000}"/>
    <cellStyle name="Примечание 14 4" xfId="25905" xr:uid="{00000000-0005-0000-0000-0000206A0000}"/>
    <cellStyle name="Примечание 14 5" xfId="25906" xr:uid="{00000000-0005-0000-0000-0000216A0000}"/>
    <cellStyle name="Примечание 14 6" xfId="25907" xr:uid="{00000000-0005-0000-0000-0000226A0000}"/>
    <cellStyle name="Примечание 140" xfId="25908" xr:uid="{00000000-0005-0000-0000-0000236A0000}"/>
    <cellStyle name="Примечание 141" xfId="25909" xr:uid="{00000000-0005-0000-0000-0000246A0000}"/>
    <cellStyle name="Примечание 142" xfId="25910" xr:uid="{00000000-0005-0000-0000-0000256A0000}"/>
    <cellStyle name="Примечание 143" xfId="25911" xr:uid="{00000000-0005-0000-0000-0000266A0000}"/>
    <cellStyle name="Примечание 144" xfId="25912" xr:uid="{00000000-0005-0000-0000-0000276A0000}"/>
    <cellStyle name="Примечание 145" xfId="25913" xr:uid="{00000000-0005-0000-0000-0000286A0000}"/>
    <cellStyle name="Примечание 146" xfId="25914" xr:uid="{00000000-0005-0000-0000-0000296A0000}"/>
    <cellStyle name="Примечание 147" xfId="25915" xr:uid="{00000000-0005-0000-0000-00002A6A0000}"/>
    <cellStyle name="Примечание 148" xfId="25916" xr:uid="{00000000-0005-0000-0000-00002B6A0000}"/>
    <cellStyle name="Примечание 149" xfId="25917" xr:uid="{00000000-0005-0000-0000-00002C6A0000}"/>
    <cellStyle name="Примечание 15" xfId="25918" xr:uid="{00000000-0005-0000-0000-00002D6A0000}"/>
    <cellStyle name="Примечание 15 2" xfId="25919" xr:uid="{00000000-0005-0000-0000-00002E6A0000}"/>
    <cellStyle name="Примечание 15 3" xfId="25920" xr:uid="{00000000-0005-0000-0000-00002F6A0000}"/>
    <cellStyle name="Примечание 15 4" xfId="25921" xr:uid="{00000000-0005-0000-0000-0000306A0000}"/>
    <cellStyle name="Примечание 15 5" xfId="25922" xr:uid="{00000000-0005-0000-0000-0000316A0000}"/>
    <cellStyle name="Примечание 15 6" xfId="25923" xr:uid="{00000000-0005-0000-0000-0000326A0000}"/>
    <cellStyle name="Примечание 150" xfId="25924" xr:uid="{00000000-0005-0000-0000-0000336A0000}"/>
    <cellStyle name="Примечание 151" xfId="25925" xr:uid="{00000000-0005-0000-0000-0000346A0000}"/>
    <cellStyle name="Примечание 152" xfId="25926" xr:uid="{00000000-0005-0000-0000-0000356A0000}"/>
    <cellStyle name="Примечание 153" xfId="25927" xr:uid="{00000000-0005-0000-0000-0000366A0000}"/>
    <cellStyle name="Примечание 154" xfId="25928" xr:uid="{00000000-0005-0000-0000-0000376A0000}"/>
    <cellStyle name="Примечание 155" xfId="25929" xr:uid="{00000000-0005-0000-0000-0000386A0000}"/>
    <cellStyle name="Примечание 156" xfId="25930" xr:uid="{00000000-0005-0000-0000-0000396A0000}"/>
    <cellStyle name="Примечание 157" xfId="25931" xr:uid="{00000000-0005-0000-0000-00003A6A0000}"/>
    <cellStyle name="Примечание 158" xfId="25932" xr:uid="{00000000-0005-0000-0000-00003B6A0000}"/>
    <cellStyle name="Примечание 159" xfId="25933" xr:uid="{00000000-0005-0000-0000-00003C6A0000}"/>
    <cellStyle name="Примечание 16" xfId="25934" xr:uid="{00000000-0005-0000-0000-00003D6A0000}"/>
    <cellStyle name="Примечание 16 2" xfId="25935" xr:uid="{00000000-0005-0000-0000-00003E6A0000}"/>
    <cellStyle name="Примечание 16 3" xfId="25936" xr:uid="{00000000-0005-0000-0000-00003F6A0000}"/>
    <cellStyle name="Примечание 16 4" xfId="25937" xr:uid="{00000000-0005-0000-0000-0000406A0000}"/>
    <cellStyle name="Примечание 16 5" xfId="25938" xr:uid="{00000000-0005-0000-0000-0000416A0000}"/>
    <cellStyle name="Примечание 16 6" xfId="25939" xr:uid="{00000000-0005-0000-0000-0000426A0000}"/>
    <cellStyle name="Примечание 160" xfId="25940" xr:uid="{00000000-0005-0000-0000-0000436A0000}"/>
    <cellStyle name="Примечание 161" xfId="25941" xr:uid="{00000000-0005-0000-0000-0000446A0000}"/>
    <cellStyle name="Примечание 162" xfId="25942" xr:uid="{00000000-0005-0000-0000-0000456A0000}"/>
    <cellStyle name="Примечание 163" xfId="25943" xr:uid="{00000000-0005-0000-0000-0000466A0000}"/>
    <cellStyle name="Примечание 164" xfId="25944" xr:uid="{00000000-0005-0000-0000-0000476A0000}"/>
    <cellStyle name="Примечание 165" xfId="25945" xr:uid="{00000000-0005-0000-0000-0000486A0000}"/>
    <cellStyle name="Примечание 166" xfId="25946" xr:uid="{00000000-0005-0000-0000-0000496A0000}"/>
    <cellStyle name="Примечание 167" xfId="25947" xr:uid="{00000000-0005-0000-0000-00004A6A0000}"/>
    <cellStyle name="Примечание 168" xfId="25948" xr:uid="{00000000-0005-0000-0000-00004B6A0000}"/>
    <cellStyle name="Примечание 169" xfId="25949" xr:uid="{00000000-0005-0000-0000-00004C6A0000}"/>
    <cellStyle name="Примечание 17" xfId="25950" xr:uid="{00000000-0005-0000-0000-00004D6A0000}"/>
    <cellStyle name="Примечание 17 2" xfId="25951" xr:uid="{00000000-0005-0000-0000-00004E6A0000}"/>
    <cellStyle name="Примечание 17 3" xfId="25952" xr:uid="{00000000-0005-0000-0000-00004F6A0000}"/>
    <cellStyle name="Примечание 17 4" xfId="25953" xr:uid="{00000000-0005-0000-0000-0000506A0000}"/>
    <cellStyle name="Примечание 17 5" xfId="25954" xr:uid="{00000000-0005-0000-0000-0000516A0000}"/>
    <cellStyle name="Примечание 17 6" xfId="25955" xr:uid="{00000000-0005-0000-0000-0000526A0000}"/>
    <cellStyle name="Примечание 170" xfId="25956" xr:uid="{00000000-0005-0000-0000-0000536A0000}"/>
    <cellStyle name="Примечание 171" xfId="25957" xr:uid="{00000000-0005-0000-0000-0000546A0000}"/>
    <cellStyle name="Примечание 172" xfId="25958" xr:uid="{00000000-0005-0000-0000-0000556A0000}"/>
    <cellStyle name="Примечание 173" xfId="27900" xr:uid="{00000000-0005-0000-0000-0000566A0000}"/>
    <cellStyle name="Примечание 174" xfId="27968" xr:uid="{00000000-0005-0000-0000-0000576A0000}"/>
    <cellStyle name="Примечание 175" xfId="28083" xr:uid="{00000000-0005-0000-0000-0000586A0000}"/>
    <cellStyle name="Примечание 18" xfId="25959" xr:uid="{00000000-0005-0000-0000-0000596A0000}"/>
    <cellStyle name="Примечание 18 2" xfId="25960" xr:uid="{00000000-0005-0000-0000-00005A6A0000}"/>
    <cellStyle name="Примечание 18 3" xfId="25961" xr:uid="{00000000-0005-0000-0000-00005B6A0000}"/>
    <cellStyle name="Примечание 18 4" xfId="25962" xr:uid="{00000000-0005-0000-0000-00005C6A0000}"/>
    <cellStyle name="Примечание 18 5" xfId="25963" xr:uid="{00000000-0005-0000-0000-00005D6A0000}"/>
    <cellStyle name="Примечание 18 6" xfId="25964" xr:uid="{00000000-0005-0000-0000-00005E6A0000}"/>
    <cellStyle name="Примечание 19" xfId="25965" xr:uid="{00000000-0005-0000-0000-00005F6A0000}"/>
    <cellStyle name="Примечание 19 2" xfId="25966" xr:uid="{00000000-0005-0000-0000-0000606A0000}"/>
    <cellStyle name="Примечание 19 3" xfId="25967" xr:uid="{00000000-0005-0000-0000-0000616A0000}"/>
    <cellStyle name="Примечание 19 4" xfId="25968" xr:uid="{00000000-0005-0000-0000-0000626A0000}"/>
    <cellStyle name="Примечание 19 5" xfId="25969" xr:uid="{00000000-0005-0000-0000-0000636A0000}"/>
    <cellStyle name="Примечание 19 6" xfId="25970" xr:uid="{00000000-0005-0000-0000-0000646A0000}"/>
    <cellStyle name="Примечание 2" xfId="25971" xr:uid="{00000000-0005-0000-0000-0000656A0000}"/>
    <cellStyle name="Примечание 2 10" xfId="28140" xr:uid="{00000000-0005-0000-0000-0000666A0000}"/>
    <cellStyle name="Примечание 2 2" xfId="25972" xr:uid="{00000000-0005-0000-0000-0000676A0000}"/>
    <cellStyle name="Примечание 2 2 2" xfId="25973" xr:uid="{00000000-0005-0000-0000-0000686A0000}"/>
    <cellStyle name="Примечание 2 2 3" xfId="25974" xr:uid="{00000000-0005-0000-0000-0000696A0000}"/>
    <cellStyle name="Примечание 2 2 4" xfId="25975" xr:uid="{00000000-0005-0000-0000-00006A6A0000}"/>
    <cellStyle name="Примечание 2 2 5" xfId="25976" xr:uid="{00000000-0005-0000-0000-00006B6A0000}"/>
    <cellStyle name="Примечание 2 2 6" xfId="25977" xr:uid="{00000000-0005-0000-0000-00006C6A0000}"/>
    <cellStyle name="Примечание 2 2 7" xfId="27858" xr:uid="{00000000-0005-0000-0000-00006D6A0000}"/>
    <cellStyle name="Примечание 2 3" xfId="25978" xr:uid="{00000000-0005-0000-0000-00006E6A0000}"/>
    <cellStyle name="Примечание 2 4" xfId="25979" xr:uid="{00000000-0005-0000-0000-00006F6A0000}"/>
    <cellStyle name="Примечание 2 5" xfId="25980" xr:uid="{00000000-0005-0000-0000-0000706A0000}"/>
    <cellStyle name="Примечание 2 6" xfId="25981" xr:uid="{00000000-0005-0000-0000-0000716A0000}"/>
    <cellStyle name="Примечание 2 7" xfId="25982" xr:uid="{00000000-0005-0000-0000-0000726A0000}"/>
    <cellStyle name="Примечание 2 8" xfId="25983" xr:uid="{00000000-0005-0000-0000-0000736A0000}"/>
    <cellStyle name="Примечание 2 9" xfId="28000" xr:uid="{00000000-0005-0000-0000-0000746A0000}"/>
    <cellStyle name="Примечание 20" xfId="25984" xr:uid="{00000000-0005-0000-0000-0000756A0000}"/>
    <cellStyle name="Примечание 20 2" xfId="25985" xr:uid="{00000000-0005-0000-0000-0000766A0000}"/>
    <cellStyle name="Примечание 21" xfId="25986" xr:uid="{00000000-0005-0000-0000-0000776A0000}"/>
    <cellStyle name="Примечание 21 2" xfId="25987" xr:uid="{00000000-0005-0000-0000-0000786A0000}"/>
    <cellStyle name="Примечание 22" xfId="25988" xr:uid="{00000000-0005-0000-0000-0000796A0000}"/>
    <cellStyle name="Примечание 22 2" xfId="25989" xr:uid="{00000000-0005-0000-0000-00007A6A0000}"/>
    <cellStyle name="Примечание 23" xfId="25990" xr:uid="{00000000-0005-0000-0000-00007B6A0000}"/>
    <cellStyle name="Примечание 23 2" xfId="25991" xr:uid="{00000000-0005-0000-0000-00007C6A0000}"/>
    <cellStyle name="Примечание 24" xfId="25992" xr:uid="{00000000-0005-0000-0000-00007D6A0000}"/>
    <cellStyle name="Примечание 24 2" xfId="25993" xr:uid="{00000000-0005-0000-0000-00007E6A0000}"/>
    <cellStyle name="Примечание 25" xfId="25994" xr:uid="{00000000-0005-0000-0000-00007F6A0000}"/>
    <cellStyle name="Примечание 25 2" xfId="25995" xr:uid="{00000000-0005-0000-0000-0000806A0000}"/>
    <cellStyle name="Примечание 26" xfId="25996" xr:uid="{00000000-0005-0000-0000-0000816A0000}"/>
    <cellStyle name="Примечание 26 2" xfId="25997" xr:uid="{00000000-0005-0000-0000-0000826A0000}"/>
    <cellStyle name="Примечание 27" xfId="25998" xr:uid="{00000000-0005-0000-0000-0000836A0000}"/>
    <cellStyle name="Примечание 27 2" xfId="25999" xr:uid="{00000000-0005-0000-0000-0000846A0000}"/>
    <cellStyle name="Примечание 28" xfId="26000" xr:uid="{00000000-0005-0000-0000-0000856A0000}"/>
    <cellStyle name="Примечание 28 2" xfId="26001" xr:uid="{00000000-0005-0000-0000-0000866A0000}"/>
    <cellStyle name="Примечание 29" xfId="26002" xr:uid="{00000000-0005-0000-0000-0000876A0000}"/>
    <cellStyle name="Примечание 29 2" xfId="26003" xr:uid="{00000000-0005-0000-0000-0000886A0000}"/>
    <cellStyle name="Примечание 3" xfId="26004" xr:uid="{00000000-0005-0000-0000-0000896A0000}"/>
    <cellStyle name="Примечание 3 10" xfId="26005" xr:uid="{00000000-0005-0000-0000-00008A6A0000}"/>
    <cellStyle name="Примечание 3 11" xfId="26006" xr:uid="{00000000-0005-0000-0000-00008B6A0000}"/>
    <cellStyle name="Примечание 3 2" xfId="26007" xr:uid="{00000000-0005-0000-0000-00008C6A0000}"/>
    <cellStyle name="Примечание 3 2 2" xfId="26008" xr:uid="{00000000-0005-0000-0000-00008D6A0000}"/>
    <cellStyle name="Примечание 3 2 3" xfId="26009" xr:uid="{00000000-0005-0000-0000-00008E6A0000}"/>
    <cellStyle name="Примечание 3 2 4" xfId="26010" xr:uid="{00000000-0005-0000-0000-00008F6A0000}"/>
    <cellStyle name="Примечание 3 2 5" xfId="26011" xr:uid="{00000000-0005-0000-0000-0000906A0000}"/>
    <cellStyle name="Примечание 3 2 6" xfId="26012" xr:uid="{00000000-0005-0000-0000-0000916A0000}"/>
    <cellStyle name="Примечание 3 3" xfId="26013" xr:uid="{00000000-0005-0000-0000-0000926A0000}"/>
    <cellStyle name="Примечание 3 3 2" xfId="26014" xr:uid="{00000000-0005-0000-0000-0000936A0000}"/>
    <cellStyle name="Примечание 3 3 3" xfId="26015" xr:uid="{00000000-0005-0000-0000-0000946A0000}"/>
    <cellStyle name="Примечание 3 3 4" xfId="26016" xr:uid="{00000000-0005-0000-0000-0000956A0000}"/>
    <cellStyle name="Примечание 3 3 5" xfId="26017" xr:uid="{00000000-0005-0000-0000-0000966A0000}"/>
    <cellStyle name="Примечание 3 3 6" xfId="26018" xr:uid="{00000000-0005-0000-0000-0000976A0000}"/>
    <cellStyle name="Примечание 3 4" xfId="26019" xr:uid="{00000000-0005-0000-0000-0000986A0000}"/>
    <cellStyle name="Примечание 3 4 2" xfId="26020" xr:uid="{00000000-0005-0000-0000-0000996A0000}"/>
    <cellStyle name="Примечание 3 4 3" xfId="26021" xr:uid="{00000000-0005-0000-0000-00009A6A0000}"/>
    <cellStyle name="Примечание 3 4 4" xfId="26022" xr:uid="{00000000-0005-0000-0000-00009B6A0000}"/>
    <cellStyle name="Примечание 3 4 5" xfId="26023" xr:uid="{00000000-0005-0000-0000-00009C6A0000}"/>
    <cellStyle name="Примечание 3 4 6" xfId="26024" xr:uid="{00000000-0005-0000-0000-00009D6A0000}"/>
    <cellStyle name="Примечание 3 5" xfId="26025" xr:uid="{00000000-0005-0000-0000-00009E6A0000}"/>
    <cellStyle name="Примечание 3 5 2" xfId="26026" xr:uid="{00000000-0005-0000-0000-00009F6A0000}"/>
    <cellStyle name="Примечание 3 5 3" xfId="26027" xr:uid="{00000000-0005-0000-0000-0000A06A0000}"/>
    <cellStyle name="Примечание 3 5 4" xfId="26028" xr:uid="{00000000-0005-0000-0000-0000A16A0000}"/>
    <cellStyle name="Примечание 3 5 5" xfId="26029" xr:uid="{00000000-0005-0000-0000-0000A26A0000}"/>
    <cellStyle name="Примечание 3 5 6" xfId="26030" xr:uid="{00000000-0005-0000-0000-0000A36A0000}"/>
    <cellStyle name="Примечание 3 6" xfId="26031" xr:uid="{00000000-0005-0000-0000-0000A46A0000}"/>
    <cellStyle name="Примечание 3 6 2" xfId="26032" xr:uid="{00000000-0005-0000-0000-0000A56A0000}"/>
    <cellStyle name="Примечание 3 6 3" xfId="26033" xr:uid="{00000000-0005-0000-0000-0000A66A0000}"/>
    <cellStyle name="Примечание 3 6 4" xfId="26034" xr:uid="{00000000-0005-0000-0000-0000A76A0000}"/>
    <cellStyle name="Примечание 3 6 5" xfId="26035" xr:uid="{00000000-0005-0000-0000-0000A86A0000}"/>
    <cellStyle name="Примечание 3 6 6" xfId="26036" xr:uid="{00000000-0005-0000-0000-0000A96A0000}"/>
    <cellStyle name="Примечание 3 7" xfId="26037" xr:uid="{00000000-0005-0000-0000-0000AA6A0000}"/>
    <cellStyle name="Примечание 3 8" xfId="26038" xr:uid="{00000000-0005-0000-0000-0000AB6A0000}"/>
    <cellStyle name="Примечание 3 9" xfId="26039" xr:uid="{00000000-0005-0000-0000-0000AC6A0000}"/>
    <cellStyle name="Примечание 30" xfId="26040" xr:uid="{00000000-0005-0000-0000-0000AD6A0000}"/>
    <cellStyle name="Примечание 30 2" xfId="26041" xr:uid="{00000000-0005-0000-0000-0000AE6A0000}"/>
    <cellStyle name="Примечание 31" xfId="26042" xr:uid="{00000000-0005-0000-0000-0000AF6A0000}"/>
    <cellStyle name="Примечание 31 2" xfId="26043" xr:uid="{00000000-0005-0000-0000-0000B06A0000}"/>
    <cellStyle name="Примечание 32" xfId="26044" xr:uid="{00000000-0005-0000-0000-0000B16A0000}"/>
    <cellStyle name="Примечание 32 2" xfId="27188" xr:uid="{00000000-0005-0000-0000-0000B26A0000}"/>
    <cellStyle name="Примечание 33" xfId="26045" xr:uid="{00000000-0005-0000-0000-0000B36A0000}"/>
    <cellStyle name="Примечание 33 2" xfId="27215" xr:uid="{00000000-0005-0000-0000-0000B46A0000}"/>
    <cellStyle name="Примечание 34" xfId="26046" xr:uid="{00000000-0005-0000-0000-0000B56A0000}"/>
    <cellStyle name="Примечание 34 2" xfId="27230" xr:uid="{00000000-0005-0000-0000-0000B66A0000}"/>
    <cellStyle name="Примечание 35" xfId="26047" xr:uid="{00000000-0005-0000-0000-0000B76A0000}"/>
    <cellStyle name="Примечание 35 2" xfId="27233" xr:uid="{00000000-0005-0000-0000-0000B86A0000}"/>
    <cellStyle name="Примечание 36" xfId="26048" xr:uid="{00000000-0005-0000-0000-0000B96A0000}"/>
    <cellStyle name="Примечание 36 2" xfId="27293" xr:uid="{00000000-0005-0000-0000-0000BA6A0000}"/>
    <cellStyle name="Примечание 37" xfId="26049" xr:uid="{00000000-0005-0000-0000-0000BB6A0000}"/>
    <cellStyle name="Примечание 37 2" xfId="27297" xr:uid="{00000000-0005-0000-0000-0000BC6A0000}"/>
    <cellStyle name="Примечание 38" xfId="26050" xr:uid="{00000000-0005-0000-0000-0000BD6A0000}"/>
    <cellStyle name="Примечание 38 2" xfId="27283" xr:uid="{00000000-0005-0000-0000-0000BE6A0000}"/>
    <cellStyle name="Примечание 39" xfId="26051" xr:uid="{00000000-0005-0000-0000-0000BF6A0000}"/>
    <cellStyle name="Примечание 39 2" xfId="27306" xr:uid="{00000000-0005-0000-0000-0000C06A0000}"/>
    <cellStyle name="Примечание 4" xfId="26052" xr:uid="{00000000-0005-0000-0000-0000C16A0000}"/>
    <cellStyle name="Примечание 4 10" xfId="26053" xr:uid="{00000000-0005-0000-0000-0000C26A0000}"/>
    <cellStyle name="Примечание 4 11" xfId="26054" xr:uid="{00000000-0005-0000-0000-0000C36A0000}"/>
    <cellStyle name="Примечание 4 2" xfId="26055" xr:uid="{00000000-0005-0000-0000-0000C46A0000}"/>
    <cellStyle name="Примечание 4 2 2" xfId="26056" xr:uid="{00000000-0005-0000-0000-0000C56A0000}"/>
    <cellStyle name="Примечание 4 2 3" xfId="26057" xr:uid="{00000000-0005-0000-0000-0000C66A0000}"/>
    <cellStyle name="Примечание 4 2 4" xfId="26058" xr:uid="{00000000-0005-0000-0000-0000C76A0000}"/>
    <cellStyle name="Примечание 4 2 5" xfId="26059" xr:uid="{00000000-0005-0000-0000-0000C86A0000}"/>
    <cellStyle name="Примечание 4 2 6" xfId="26060" xr:uid="{00000000-0005-0000-0000-0000C96A0000}"/>
    <cellStyle name="Примечание 4 3" xfId="26061" xr:uid="{00000000-0005-0000-0000-0000CA6A0000}"/>
    <cellStyle name="Примечание 4 3 2" xfId="26062" xr:uid="{00000000-0005-0000-0000-0000CB6A0000}"/>
    <cellStyle name="Примечание 4 3 3" xfId="26063" xr:uid="{00000000-0005-0000-0000-0000CC6A0000}"/>
    <cellStyle name="Примечание 4 3 4" xfId="26064" xr:uid="{00000000-0005-0000-0000-0000CD6A0000}"/>
    <cellStyle name="Примечание 4 3 5" xfId="26065" xr:uid="{00000000-0005-0000-0000-0000CE6A0000}"/>
    <cellStyle name="Примечание 4 3 6" xfId="26066" xr:uid="{00000000-0005-0000-0000-0000CF6A0000}"/>
    <cellStyle name="Примечание 4 4" xfId="26067" xr:uid="{00000000-0005-0000-0000-0000D06A0000}"/>
    <cellStyle name="Примечание 4 4 2" xfId="26068" xr:uid="{00000000-0005-0000-0000-0000D16A0000}"/>
    <cellStyle name="Примечание 4 4 3" xfId="26069" xr:uid="{00000000-0005-0000-0000-0000D26A0000}"/>
    <cellStyle name="Примечание 4 4 4" xfId="26070" xr:uid="{00000000-0005-0000-0000-0000D36A0000}"/>
    <cellStyle name="Примечание 4 4 5" xfId="26071" xr:uid="{00000000-0005-0000-0000-0000D46A0000}"/>
    <cellStyle name="Примечание 4 4 6" xfId="26072" xr:uid="{00000000-0005-0000-0000-0000D56A0000}"/>
    <cellStyle name="Примечание 4 5" xfId="26073" xr:uid="{00000000-0005-0000-0000-0000D66A0000}"/>
    <cellStyle name="Примечание 4 5 2" xfId="26074" xr:uid="{00000000-0005-0000-0000-0000D76A0000}"/>
    <cellStyle name="Примечание 4 5 3" xfId="26075" xr:uid="{00000000-0005-0000-0000-0000D86A0000}"/>
    <cellStyle name="Примечание 4 5 4" xfId="26076" xr:uid="{00000000-0005-0000-0000-0000D96A0000}"/>
    <cellStyle name="Примечание 4 5 5" xfId="26077" xr:uid="{00000000-0005-0000-0000-0000DA6A0000}"/>
    <cellStyle name="Примечание 4 5 6" xfId="26078" xr:uid="{00000000-0005-0000-0000-0000DB6A0000}"/>
    <cellStyle name="Примечание 4 6" xfId="26079" xr:uid="{00000000-0005-0000-0000-0000DC6A0000}"/>
    <cellStyle name="Примечание 4 6 2" xfId="26080" xr:uid="{00000000-0005-0000-0000-0000DD6A0000}"/>
    <cellStyle name="Примечание 4 6 3" xfId="26081" xr:uid="{00000000-0005-0000-0000-0000DE6A0000}"/>
    <cellStyle name="Примечание 4 6 4" xfId="26082" xr:uid="{00000000-0005-0000-0000-0000DF6A0000}"/>
    <cellStyle name="Примечание 4 6 5" xfId="26083" xr:uid="{00000000-0005-0000-0000-0000E06A0000}"/>
    <cellStyle name="Примечание 4 6 6" xfId="26084" xr:uid="{00000000-0005-0000-0000-0000E16A0000}"/>
    <cellStyle name="Примечание 4 7" xfId="26085" xr:uid="{00000000-0005-0000-0000-0000E26A0000}"/>
    <cellStyle name="Примечание 4 8" xfId="26086" xr:uid="{00000000-0005-0000-0000-0000E36A0000}"/>
    <cellStyle name="Примечание 4 9" xfId="26087" xr:uid="{00000000-0005-0000-0000-0000E46A0000}"/>
    <cellStyle name="Примечание 40" xfId="26088" xr:uid="{00000000-0005-0000-0000-0000E56A0000}"/>
    <cellStyle name="Примечание 40 2" xfId="27385" xr:uid="{00000000-0005-0000-0000-0000E66A0000}"/>
    <cellStyle name="Примечание 41" xfId="26089" xr:uid="{00000000-0005-0000-0000-0000E76A0000}"/>
    <cellStyle name="Примечание 41 2" xfId="27358" xr:uid="{00000000-0005-0000-0000-0000E86A0000}"/>
    <cellStyle name="Примечание 42" xfId="26090" xr:uid="{00000000-0005-0000-0000-0000E96A0000}"/>
    <cellStyle name="Примечание 42 2" xfId="27391" xr:uid="{00000000-0005-0000-0000-0000EA6A0000}"/>
    <cellStyle name="Примечание 43" xfId="26091" xr:uid="{00000000-0005-0000-0000-0000EB6A0000}"/>
    <cellStyle name="Примечание 43 2" xfId="27412" xr:uid="{00000000-0005-0000-0000-0000EC6A0000}"/>
    <cellStyle name="Примечание 44" xfId="26092" xr:uid="{00000000-0005-0000-0000-0000ED6A0000}"/>
    <cellStyle name="Примечание 44 2" xfId="27417" xr:uid="{00000000-0005-0000-0000-0000EE6A0000}"/>
    <cellStyle name="Примечание 45" xfId="26093" xr:uid="{00000000-0005-0000-0000-0000EF6A0000}"/>
    <cellStyle name="Примечание 45 2" xfId="27488" xr:uid="{00000000-0005-0000-0000-0000F06A0000}"/>
    <cellStyle name="Примечание 46" xfId="26094" xr:uid="{00000000-0005-0000-0000-0000F16A0000}"/>
    <cellStyle name="Примечание 46 2" xfId="27477" xr:uid="{00000000-0005-0000-0000-0000F26A0000}"/>
    <cellStyle name="Примечание 47" xfId="26095" xr:uid="{00000000-0005-0000-0000-0000F36A0000}"/>
    <cellStyle name="Примечание 47 2" xfId="27498" xr:uid="{00000000-0005-0000-0000-0000F46A0000}"/>
    <cellStyle name="Примечание 48" xfId="26096" xr:uid="{00000000-0005-0000-0000-0000F56A0000}"/>
    <cellStyle name="Примечание 48 2" xfId="27461" xr:uid="{00000000-0005-0000-0000-0000F66A0000}"/>
    <cellStyle name="Примечание 49" xfId="26097" xr:uid="{00000000-0005-0000-0000-0000F76A0000}"/>
    <cellStyle name="Примечание 49 2" xfId="27575" xr:uid="{00000000-0005-0000-0000-0000F86A0000}"/>
    <cellStyle name="Примечание 5" xfId="26098" xr:uid="{00000000-0005-0000-0000-0000F96A0000}"/>
    <cellStyle name="Примечание 5 2" xfId="26099" xr:uid="{00000000-0005-0000-0000-0000FA6A0000}"/>
    <cellStyle name="Примечание 5 3" xfId="26100" xr:uid="{00000000-0005-0000-0000-0000FB6A0000}"/>
    <cellStyle name="Примечание 5 4" xfId="26101" xr:uid="{00000000-0005-0000-0000-0000FC6A0000}"/>
    <cellStyle name="Примечание 5 5" xfId="26102" xr:uid="{00000000-0005-0000-0000-0000FD6A0000}"/>
    <cellStyle name="Примечание 5 6" xfId="26103" xr:uid="{00000000-0005-0000-0000-0000FE6A0000}"/>
    <cellStyle name="Примечание 50" xfId="26104" xr:uid="{00000000-0005-0000-0000-0000FF6A0000}"/>
    <cellStyle name="Примечание 50 2" xfId="27560" xr:uid="{00000000-0005-0000-0000-0000006B0000}"/>
    <cellStyle name="Примечание 51" xfId="26105" xr:uid="{00000000-0005-0000-0000-0000016B0000}"/>
    <cellStyle name="Примечание 51 2" xfId="27584" xr:uid="{00000000-0005-0000-0000-0000026B0000}"/>
    <cellStyle name="Примечание 52" xfId="26106" xr:uid="{00000000-0005-0000-0000-0000036B0000}"/>
    <cellStyle name="Примечание 52 2" xfId="27547" xr:uid="{00000000-0005-0000-0000-0000046B0000}"/>
    <cellStyle name="Примечание 53" xfId="26107" xr:uid="{00000000-0005-0000-0000-0000056B0000}"/>
    <cellStyle name="Примечание 53 2" xfId="27634" xr:uid="{00000000-0005-0000-0000-0000066B0000}"/>
    <cellStyle name="Примечание 54" xfId="26108" xr:uid="{00000000-0005-0000-0000-0000076B0000}"/>
    <cellStyle name="Примечание 54 2" xfId="27687" xr:uid="{00000000-0005-0000-0000-0000086B0000}"/>
    <cellStyle name="Примечание 55" xfId="26109" xr:uid="{00000000-0005-0000-0000-0000096B0000}"/>
    <cellStyle name="Примечание 55 2" xfId="27690" xr:uid="{00000000-0005-0000-0000-00000A6B0000}"/>
    <cellStyle name="Примечание 56" xfId="26110" xr:uid="{00000000-0005-0000-0000-00000B6B0000}"/>
    <cellStyle name="Примечание 56 2" xfId="27677" xr:uid="{00000000-0005-0000-0000-00000C6B0000}"/>
    <cellStyle name="Примечание 57" xfId="26111" xr:uid="{00000000-0005-0000-0000-00000D6B0000}"/>
    <cellStyle name="Примечание 57 2" xfId="27700" xr:uid="{00000000-0005-0000-0000-00000E6B0000}"/>
    <cellStyle name="Примечание 58" xfId="26112" xr:uid="{00000000-0005-0000-0000-00000F6B0000}"/>
    <cellStyle name="Примечание 58 2" xfId="27662" xr:uid="{00000000-0005-0000-0000-0000106B0000}"/>
    <cellStyle name="Примечание 59" xfId="26113" xr:uid="{00000000-0005-0000-0000-0000116B0000}"/>
    <cellStyle name="Примечание 59 2" xfId="27771" xr:uid="{00000000-0005-0000-0000-0000126B0000}"/>
    <cellStyle name="Примечание 6" xfId="26114" xr:uid="{00000000-0005-0000-0000-0000136B0000}"/>
    <cellStyle name="Примечание 6 2" xfId="26115" xr:uid="{00000000-0005-0000-0000-0000146B0000}"/>
    <cellStyle name="Примечание 6 3" xfId="26116" xr:uid="{00000000-0005-0000-0000-0000156B0000}"/>
    <cellStyle name="Примечание 6 4" xfId="26117" xr:uid="{00000000-0005-0000-0000-0000166B0000}"/>
    <cellStyle name="Примечание 6 5" xfId="26118" xr:uid="{00000000-0005-0000-0000-0000176B0000}"/>
    <cellStyle name="Примечание 6 6" xfId="26119" xr:uid="{00000000-0005-0000-0000-0000186B0000}"/>
    <cellStyle name="Примечание 60" xfId="26120" xr:uid="{00000000-0005-0000-0000-0000196B0000}"/>
    <cellStyle name="Примечание 60 2" xfId="27777" xr:uid="{00000000-0005-0000-0000-00001A6B0000}"/>
    <cellStyle name="Примечание 61" xfId="26121" xr:uid="{00000000-0005-0000-0000-00001B6B0000}"/>
    <cellStyle name="Примечание 62" xfId="26122" xr:uid="{00000000-0005-0000-0000-00001C6B0000}"/>
    <cellStyle name="Примечание 63" xfId="26123" xr:uid="{00000000-0005-0000-0000-00001D6B0000}"/>
    <cellStyle name="Примечание 64" xfId="26124" xr:uid="{00000000-0005-0000-0000-00001E6B0000}"/>
    <cellStyle name="Примечание 65" xfId="26125" xr:uid="{00000000-0005-0000-0000-00001F6B0000}"/>
    <cellStyle name="Примечание 66" xfId="26126" xr:uid="{00000000-0005-0000-0000-0000206B0000}"/>
    <cellStyle name="Примечание 67" xfId="26127" xr:uid="{00000000-0005-0000-0000-0000216B0000}"/>
    <cellStyle name="Примечание 68" xfId="26128" xr:uid="{00000000-0005-0000-0000-0000226B0000}"/>
    <cellStyle name="Примечание 69" xfId="26129" xr:uid="{00000000-0005-0000-0000-0000236B0000}"/>
    <cellStyle name="Примечание 7" xfId="26130" xr:uid="{00000000-0005-0000-0000-0000246B0000}"/>
    <cellStyle name="Примечание 7 2" xfId="26131" xr:uid="{00000000-0005-0000-0000-0000256B0000}"/>
    <cellStyle name="Примечание 7 3" xfId="26132" xr:uid="{00000000-0005-0000-0000-0000266B0000}"/>
    <cellStyle name="Примечание 7 4" xfId="26133" xr:uid="{00000000-0005-0000-0000-0000276B0000}"/>
    <cellStyle name="Примечание 7 5" xfId="26134" xr:uid="{00000000-0005-0000-0000-0000286B0000}"/>
    <cellStyle name="Примечание 7 6" xfId="26135" xr:uid="{00000000-0005-0000-0000-0000296B0000}"/>
    <cellStyle name="Примечание 70" xfId="26136" xr:uid="{00000000-0005-0000-0000-00002A6B0000}"/>
    <cellStyle name="Примечание 71" xfId="26137" xr:uid="{00000000-0005-0000-0000-00002B6B0000}"/>
    <cellStyle name="Примечание 72" xfId="26138" xr:uid="{00000000-0005-0000-0000-00002C6B0000}"/>
    <cellStyle name="Примечание 73" xfId="26139" xr:uid="{00000000-0005-0000-0000-00002D6B0000}"/>
    <cellStyle name="Примечание 74" xfId="26140" xr:uid="{00000000-0005-0000-0000-00002E6B0000}"/>
    <cellStyle name="Примечание 75" xfId="26141" xr:uid="{00000000-0005-0000-0000-00002F6B0000}"/>
    <cellStyle name="Примечание 76" xfId="26142" xr:uid="{00000000-0005-0000-0000-0000306B0000}"/>
    <cellStyle name="Примечание 77" xfId="26143" xr:uid="{00000000-0005-0000-0000-0000316B0000}"/>
    <cellStyle name="Примечание 78" xfId="26144" xr:uid="{00000000-0005-0000-0000-0000326B0000}"/>
    <cellStyle name="Примечание 79" xfId="26145" xr:uid="{00000000-0005-0000-0000-0000336B0000}"/>
    <cellStyle name="Примечание 8" xfId="26146" xr:uid="{00000000-0005-0000-0000-0000346B0000}"/>
    <cellStyle name="Примечание 8 2" xfId="26147" xr:uid="{00000000-0005-0000-0000-0000356B0000}"/>
    <cellStyle name="Примечание 8 3" xfId="26148" xr:uid="{00000000-0005-0000-0000-0000366B0000}"/>
    <cellStyle name="Примечание 8 4" xfId="26149" xr:uid="{00000000-0005-0000-0000-0000376B0000}"/>
    <cellStyle name="Примечание 8 5" xfId="26150" xr:uid="{00000000-0005-0000-0000-0000386B0000}"/>
    <cellStyle name="Примечание 8 6" xfId="26151" xr:uid="{00000000-0005-0000-0000-0000396B0000}"/>
    <cellStyle name="Примечание 80" xfId="26152" xr:uid="{00000000-0005-0000-0000-00003A6B0000}"/>
    <cellStyle name="Примечание 81" xfId="26153" xr:uid="{00000000-0005-0000-0000-00003B6B0000}"/>
    <cellStyle name="Примечание 82" xfId="26154" xr:uid="{00000000-0005-0000-0000-00003C6B0000}"/>
    <cellStyle name="Примечание 83" xfId="26155" xr:uid="{00000000-0005-0000-0000-00003D6B0000}"/>
    <cellStyle name="Примечание 84" xfId="26156" xr:uid="{00000000-0005-0000-0000-00003E6B0000}"/>
    <cellStyle name="Примечание 85" xfId="26157" xr:uid="{00000000-0005-0000-0000-00003F6B0000}"/>
    <cellStyle name="Примечание 86" xfId="26158" xr:uid="{00000000-0005-0000-0000-0000406B0000}"/>
    <cellStyle name="Примечание 87" xfId="26159" xr:uid="{00000000-0005-0000-0000-0000416B0000}"/>
    <cellStyle name="Примечание 88" xfId="26160" xr:uid="{00000000-0005-0000-0000-0000426B0000}"/>
    <cellStyle name="Примечание 89" xfId="26161" xr:uid="{00000000-0005-0000-0000-0000436B0000}"/>
    <cellStyle name="Примечание 9" xfId="26162" xr:uid="{00000000-0005-0000-0000-0000446B0000}"/>
    <cellStyle name="Примечание 9 2" xfId="26163" xr:uid="{00000000-0005-0000-0000-0000456B0000}"/>
    <cellStyle name="Примечание 9 3" xfId="26164" xr:uid="{00000000-0005-0000-0000-0000466B0000}"/>
    <cellStyle name="Примечание 9 4" xfId="26165" xr:uid="{00000000-0005-0000-0000-0000476B0000}"/>
    <cellStyle name="Примечание 9 5" xfId="26166" xr:uid="{00000000-0005-0000-0000-0000486B0000}"/>
    <cellStyle name="Примечание 9 6" xfId="26167" xr:uid="{00000000-0005-0000-0000-0000496B0000}"/>
    <cellStyle name="Примечание 90" xfId="26168" xr:uid="{00000000-0005-0000-0000-00004A6B0000}"/>
    <cellStyle name="Примечание 91" xfId="26169" xr:uid="{00000000-0005-0000-0000-00004B6B0000}"/>
    <cellStyle name="Примечание 92" xfId="26170" xr:uid="{00000000-0005-0000-0000-00004C6B0000}"/>
    <cellStyle name="Примечание 93" xfId="26171" xr:uid="{00000000-0005-0000-0000-00004D6B0000}"/>
    <cellStyle name="Примечание 94" xfId="26172" xr:uid="{00000000-0005-0000-0000-00004E6B0000}"/>
    <cellStyle name="Примечание 95" xfId="26173" xr:uid="{00000000-0005-0000-0000-00004F6B0000}"/>
    <cellStyle name="Примечание 96" xfId="26174" xr:uid="{00000000-0005-0000-0000-0000506B0000}"/>
    <cellStyle name="Примечание 97" xfId="26175" xr:uid="{00000000-0005-0000-0000-0000516B0000}"/>
    <cellStyle name="Примечание 98" xfId="26176" xr:uid="{00000000-0005-0000-0000-0000526B0000}"/>
    <cellStyle name="Примечание 99" xfId="26177" xr:uid="{00000000-0005-0000-0000-0000536B0000}"/>
    <cellStyle name="Процент_5LET2" xfId="26178" xr:uid="{00000000-0005-0000-0000-0000546B0000}"/>
    <cellStyle name="Процентный" xfId="28297" builtinId="5"/>
    <cellStyle name="Процентный 2" xfId="11" xr:uid="{00000000-0005-0000-0000-0000556B0000}"/>
    <cellStyle name="Процентный 2 10" xfId="26180" xr:uid="{00000000-0005-0000-0000-0000566B0000}"/>
    <cellStyle name="Процентный 2 11" xfId="26181" xr:uid="{00000000-0005-0000-0000-0000576B0000}"/>
    <cellStyle name="Процентный 2 12" xfId="26182" xr:uid="{00000000-0005-0000-0000-0000586B0000}"/>
    <cellStyle name="Процентный 2 13" xfId="26183" xr:uid="{00000000-0005-0000-0000-0000596B0000}"/>
    <cellStyle name="Процентный 2 14" xfId="26184" xr:uid="{00000000-0005-0000-0000-00005A6B0000}"/>
    <cellStyle name="Процентный 2 15" xfId="26185" xr:uid="{00000000-0005-0000-0000-00005B6B0000}"/>
    <cellStyle name="Процентный 2 16" xfId="26186" xr:uid="{00000000-0005-0000-0000-00005C6B0000}"/>
    <cellStyle name="Процентный 2 17" xfId="26187" xr:uid="{00000000-0005-0000-0000-00005D6B0000}"/>
    <cellStyle name="Процентный 2 18" xfId="26188" xr:uid="{00000000-0005-0000-0000-00005E6B0000}"/>
    <cellStyle name="Процентный 2 19" xfId="26189" xr:uid="{00000000-0005-0000-0000-00005F6B0000}"/>
    <cellStyle name="Процентный 2 2" xfId="26190" xr:uid="{00000000-0005-0000-0000-0000606B0000}"/>
    <cellStyle name="Процентный 2 20" xfId="26191" xr:uid="{00000000-0005-0000-0000-0000616B0000}"/>
    <cellStyle name="Процентный 2 21" xfId="26192" xr:uid="{00000000-0005-0000-0000-0000626B0000}"/>
    <cellStyle name="Процентный 2 22" xfId="26193" xr:uid="{00000000-0005-0000-0000-0000636B0000}"/>
    <cellStyle name="Процентный 2 23" xfId="26194" xr:uid="{00000000-0005-0000-0000-0000646B0000}"/>
    <cellStyle name="Процентный 2 24" xfId="26195" xr:uid="{00000000-0005-0000-0000-0000656B0000}"/>
    <cellStyle name="Процентный 2 25" xfId="26196" xr:uid="{00000000-0005-0000-0000-0000666B0000}"/>
    <cellStyle name="Процентный 2 26" xfId="26197" xr:uid="{00000000-0005-0000-0000-0000676B0000}"/>
    <cellStyle name="Процентный 2 27" xfId="26198" xr:uid="{00000000-0005-0000-0000-0000686B0000}"/>
    <cellStyle name="Процентный 2 28" xfId="27851" xr:uid="{00000000-0005-0000-0000-0000696B0000}"/>
    <cellStyle name="Процентный 2 3" xfId="26199" xr:uid="{00000000-0005-0000-0000-00006A6B0000}"/>
    <cellStyle name="Процентный 2 4" xfId="26200" xr:uid="{00000000-0005-0000-0000-00006B6B0000}"/>
    <cellStyle name="Процентный 2 5" xfId="26201" xr:uid="{00000000-0005-0000-0000-00006C6B0000}"/>
    <cellStyle name="Процентный 2 6" xfId="26202" xr:uid="{00000000-0005-0000-0000-00006D6B0000}"/>
    <cellStyle name="Процентный 2 7" xfId="26203" xr:uid="{00000000-0005-0000-0000-00006E6B0000}"/>
    <cellStyle name="Процентный 2 8" xfId="26204" xr:uid="{00000000-0005-0000-0000-00006F6B0000}"/>
    <cellStyle name="Процентный 2 9" xfId="26205" xr:uid="{00000000-0005-0000-0000-0000706B0000}"/>
    <cellStyle name="Процентный 3" xfId="26206" xr:uid="{00000000-0005-0000-0000-0000716B0000}"/>
    <cellStyle name="Процентный 3 2" xfId="26207" xr:uid="{00000000-0005-0000-0000-0000726B0000}"/>
    <cellStyle name="Процентный 3 3" xfId="26208" xr:uid="{00000000-0005-0000-0000-0000736B0000}"/>
    <cellStyle name="Процентный 3 4" xfId="27855" xr:uid="{00000000-0005-0000-0000-0000746B0000}"/>
    <cellStyle name="Процентный 4" xfId="26209" xr:uid="{00000000-0005-0000-0000-0000756B0000}"/>
    <cellStyle name="Процентный 4 2" xfId="26210" xr:uid="{00000000-0005-0000-0000-0000766B0000}"/>
    <cellStyle name="Процентный 5" xfId="26211" xr:uid="{00000000-0005-0000-0000-0000776B0000}"/>
    <cellStyle name="Процентный 6" xfId="26212" xr:uid="{00000000-0005-0000-0000-0000786B0000}"/>
    <cellStyle name="Процентный 7" xfId="14" xr:uid="{00000000-0005-0000-0000-0000796B0000}"/>
    <cellStyle name="Процентный 8" xfId="4" xr:uid="{00000000-0005-0000-0000-00007A6B0000}"/>
    <cellStyle name="Связанная ячейка 10" xfId="26213" xr:uid="{00000000-0005-0000-0000-00007B6B0000}"/>
    <cellStyle name="Связанная ячейка 10 2" xfId="26214" xr:uid="{00000000-0005-0000-0000-00007C6B0000}"/>
    <cellStyle name="Связанная ячейка 100" xfId="26215" xr:uid="{00000000-0005-0000-0000-00007D6B0000}"/>
    <cellStyle name="Связанная ячейка 101" xfId="26216" xr:uid="{00000000-0005-0000-0000-00007E6B0000}"/>
    <cellStyle name="Связанная ячейка 102" xfId="26217" xr:uid="{00000000-0005-0000-0000-00007F6B0000}"/>
    <cellStyle name="Связанная ячейка 103" xfId="26218" xr:uid="{00000000-0005-0000-0000-0000806B0000}"/>
    <cellStyle name="Связанная ячейка 104" xfId="26219" xr:uid="{00000000-0005-0000-0000-0000816B0000}"/>
    <cellStyle name="Связанная ячейка 105" xfId="26220" xr:uid="{00000000-0005-0000-0000-0000826B0000}"/>
    <cellStyle name="Связанная ячейка 106" xfId="26221" xr:uid="{00000000-0005-0000-0000-0000836B0000}"/>
    <cellStyle name="Связанная ячейка 107" xfId="26222" xr:uid="{00000000-0005-0000-0000-0000846B0000}"/>
    <cellStyle name="Связанная ячейка 108" xfId="26223" xr:uid="{00000000-0005-0000-0000-0000856B0000}"/>
    <cellStyle name="Связанная ячейка 109" xfId="26224" xr:uid="{00000000-0005-0000-0000-0000866B0000}"/>
    <cellStyle name="Связанная ячейка 11" xfId="26225" xr:uid="{00000000-0005-0000-0000-0000876B0000}"/>
    <cellStyle name="Связанная ячейка 11 2" xfId="26226" xr:uid="{00000000-0005-0000-0000-0000886B0000}"/>
    <cellStyle name="Связанная ячейка 11 3" xfId="26840" xr:uid="{00000000-0005-0000-0000-0000896B0000}"/>
    <cellStyle name="Связанная ячейка 110" xfId="26227" xr:uid="{00000000-0005-0000-0000-00008A6B0000}"/>
    <cellStyle name="Связанная ячейка 111" xfId="26228" xr:uid="{00000000-0005-0000-0000-00008B6B0000}"/>
    <cellStyle name="Связанная ячейка 112" xfId="26229" xr:uid="{00000000-0005-0000-0000-00008C6B0000}"/>
    <cellStyle name="Связанная ячейка 113" xfId="26230" xr:uid="{00000000-0005-0000-0000-00008D6B0000}"/>
    <cellStyle name="Связанная ячейка 114" xfId="26231" xr:uid="{00000000-0005-0000-0000-00008E6B0000}"/>
    <cellStyle name="Связанная ячейка 115" xfId="26232" xr:uid="{00000000-0005-0000-0000-00008F6B0000}"/>
    <cellStyle name="Связанная ячейка 116" xfId="26233" xr:uid="{00000000-0005-0000-0000-0000906B0000}"/>
    <cellStyle name="Связанная ячейка 117" xfId="26234" xr:uid="{00000000-0005-0000-0000-0000916B0000}"/>
    <cellStyle name="Связанная ячейка 118" xfId="26235" xr:uid="{00000000-0005-0000-0000-0000926B0000}"/>
    <cellStyle name="Связанная ячейка 119" xfId="26236" xr:uid="{00000000-0005-0000-0000-0000936B0000}"/>
    <cellStyle name="Связанная ячейка 12" xfId="26237" xr:uid="{00000000-0005-0000-0000-0000946B0000}"/>
    <cellStyle name="Связанная ячейка 12 2" xfId="26871" xr:uid="{00000000-0005-0000-0000-0000956B0000}"/>
    <cellStyle name="Связанная ячейка 120" xfId="26238" xr:uid="{00000000-0005-0000-0000-0000966B0000}"/>
    <cellStyle name="Связанная ячейка 121" xfId="26239" xr:uid="{00000000-0005-0000-0000-0000976B0000}"/>
    <cellStyle name="Связанная ячейка 122" xfId="26240" xr:uid="{00000000-0005-0000-0000-0000986B0000}"/>
    <cellStyle name="Связанная ячейка 123" xfId="26241" xr:uid="{00000000-0005-0000-0000-0000996B0000}"/>
    <cellStyle name="Связанная ячейка 124" xfId="26242" xr:uid="{00000000-0005-0000-0000-00009A6B0000}"/>
    <cellStyle name="Связанная ячейка 125" xfId="26243" xr:uid="{00000000-0005-0000-0000-00009B6B0000}"/>
    <cellStyle name="Связанная ячейка 126" xfId="26244" xr:uid="{00000000-0005-0000-0000-00009C6B0000}"/>
    <cellStyle name="Связанная ячейка 127" xfId="26245" xr:uid="{00000000-0005-0000-0000-00009D6B0000}"/>
    <cellStyle name="Связанная ячейка 128" xfId="26246" xr:uid="{00000000-0005-0000-0000-00009E6B0000}"/>
    <cellStyle name="Связанная ячейка 129" xfId="26247" xr:uid="{00000000-0005-0000-0000-00009F6B0000}"/>
    <cellStyle name="Связанная ячейка 13" xfId="26248" xr:uid="{00000000-0005-0000-0000-0000A06B0000}"/>
    <cellStyle name="Связанная ячейка 13 2" xfId="26874" xr:uid="{00000000-0005-0000-0000-0000A16B0000}"/>
    <cellStyle name="Связанная ячейка 130" xfId="26249" xr:uid="{00000000-0005-0000-0000-0000A26B0000}"/>
    <cellStyle name="Связанная ячейка 131" xfId="26250" xr:uid="{00000000-0005-0000-0000-0000A36B0000}"/>
    <cellStyle name="Связанная ячейка 132" xfId="26251" xr:uid="{00000000-0005-0000-0000-0000A46B0000}"/>
    <cellStyle name="Связанная ячейка 133" xfId="26252" xr:uid="{00000000-0005-0000-0000-0000A56B0000}"/>
    <cellStyle name="Связанная ячейка 134" xfId="26253" xr:uid="{00000000-0005-0000-0000-0000A66B0000}"/>
    <cellStyle name="Связанная ячейка 135" xfId="26254" xr:uid="{00000000-0005-0000-0000-0000A76B0000}"/>
    <cellStyle name="Связанная ячейка 136" xfId="26255" xr:uid="{00000000-0005-0000-0000-0000A86B0000}"/>
    <cellStyle name="Связанная ячейка 137" xfId="26256" xr:uid="{00000000-0005-0000-0000-0000A96B0000}"/>
    <cellStyle name="Связанная ячейка 138" xfId="26257" xr:uid="{00000000-0005-0000-0000-0000AA6B0000}"/>
    <cellStyle name="Связанная ячейка 139" xfId="26258" xr:uid="{00000000-0005-0000-0000-0000AB6B0000}"/>
    <cellStyle name="Связанная ячейка 14" xfId="26259" xr:uid="{00000000-0005-0000-0000-0000AC6B0000}"/>
    <cellStyle name="Связанная ячейка 14 2" xfId="26862" xr:uid="{00000000-0005-0000-0000-0000AD6B0000}"/>
    <cellStyle name="Связанная ячейка 140" xfId="26260" xr:uid="{00000000-0005-0000-0000-0000AE6B0000}"/>
    <cellStyle name="Связанная ячейка 141" xfId="26261" xr:uid="{00000000-0005-0000-0000-0000AF6B0000}"/>
    <cellStyle name="Связанная ячейка 142" xfId="26262" xr:uid="{00000000-0005-0000-0000-0000B06B0000}"/>
    <cellStyle name="Связанная ячейка 143" xfId="26263" xr:uid="{00000000-0005-0000-0000-0000B16B0000}"/>
    <cellStyle name="Связанная ячейка 144" xfId="26264" xr:uid="{00000000-0005-0000-0000-0000B26B0000}"/>
    <cellStyle name="Связанная ячейка 145" xfId="26265" xr:uid="{00000000-0005-0000-0000-0000B36B0000}"/>
    <cellStyle name="Связанная ячейка 146" xfId="26266" xr:uid="{00000000-0005-0000-0000-0000B46B0000}"/>
    <cellStyle name="Связанная ячейка 147" xfId="26267" xr:uid="{00000000-0005-0000-0000-0000B56B0000}"/>
    <cellStyle name="Связанная ячейка 148" xfId="26268" xr:uid="{00000000-0005-0000-0000-0000B66B0000}"/>
    <cellStyle name="Связанная ячейка 149" xfId="26269" xr:uid="{00000000-0005-0000-0000-0000B76B0000}"/>
    <cellStyle name="Связанная ячейка 15" xfId="26270" xr:uid="{00000000-0005-0000-0000-0000B86B0000}"/>
    <cellStyle name="Связанная ячейка 15 2" xfId="26919" xr:uid="{00000000-0005-0000-0000-0000B96B0000}"/>
    <cellStyle name="Связанная ячейка 150" xfId="26271" xr:uid="{00000000-0005-0000-0000-0000BA6B0000}"/>
    <cellStyle name="Связанная ячейка 151" xfId="26272" xr:uid="{00000000-0005-0000-0000-0000BB6B0000}"/>
    <cellStyle name="Связанная ячейка 152" xfId="26273" xr:uid="{00000000-0005-0000-0000-0000BC6B0000}"/>
    <cellStyle name="Связанная ячейка 153" xfId="26274" xr:uid="{00000000-0005-0000-0000-0000BD6B0000}"/>
    <cellStyle name="Связанная ячейка 154" xfId="26275" xr:uid="{00000000-0005-0000-0000-0000BE6B0000}"/>
    <cellStyle name="Связанная ячейка 155" xfId="26276" xr:uid="{00000000-0005-0000-0000-0000BF6B0000}"/>
    <cellStyle name="Связанная ячейка 156" xfId="26277" xr:uid="{00000000-0005-0000-0000-0000C06B0000}"/>
    <cellStyle name="Связанная ячейка 157" xfId="26278" xr:uid="{00000000-0005-0000-0000-0000C16B0000}"/>
    <cellStyle name="Связанная ячейка 158" xfId="26279" xr:uid="{00000000-0005-0000-0000-0000C26B0000}"/>
    <cellStyle name="Связанная ячейка 159" xfId="26280" xr:uid="{00000000-0005-0000-0000-0000C36B0000}"/>
    <cellStyle name="Связанная ячейка 16" xfId="26281" xr:uid="{00000000-0005-0000-0000-0000C46B0000}"/>
    <cellStyle name="Связанная ячейка 16 2" xfId="26922" xr:uid="{00000000-0005-0000-0000-0000C56B0000}"/>
    <cellStyle name="Связанная ячейка 160" xfId="26282" xr:uid="{00000000-0005-0000-0000-0000C66B0000}"/>
    <cellStyle name="Связанная ячейка 161" xfId="26283" xr:uid="{00000000-0005-0000-0000-0000C76B0000}"/>
    <cellStyle name="Связанная ячейка 162" xfId="26284" xr:uid="{00000000-0005-0000-0000-0000C86B0000}"/>
    <cellStyle name="Связанная ячейка 163" xfId="26285" xr:uid="{00000000-0005-0000-0000-0000C96B0000}"/>
    <cellStyle name="Связанная ячейка 164" xfId="26286" xr:uid="{00000000-0005-0000-0000-0000CA6B0000}"/>
    <cellStyle name="Связанная ячейка 165" xfId="26287" xr:uid="{00000000-0005-0000-0000-0000CB6B0000}"/>
    <cellStyle name="Связанная ячейка 166" xfId="26288" xr:uid="{00000000-0005-0000-0000-0000CC6B0000}"/>
    <cellStyle name="Связанная ячейка 167" xfId="26289" xr:uid="{00000000-0005-0000-0000-0000CD6B0000}"/>
    <cellStyle name="Связанная ячейка 168" xfId="26290" xr:uid="{00000000-0005-0000-0000-0000CE6B0000}"/>
    <cellStyle name="Связанная ячейка 169" xfId="26291" xr:uid="{00000000-0005-0000-0000-0000CF6B0000}"/>
    <cellStyle name="Связанная ячейка 17" xfId="26292" xr:uid="{00000000-0005-0000-0000-0000D06B0000}"/>
    <cellStyle name="Связанная ячейка 17 2" xfId="26910" xr:uid="{00000000-0005-0000-0000-0000D16B0000}"/>
    <cellStyle name="Связанная ячейка 170" xfId="26293" xr:uid="{00000000-0005-0000-0000-0000D26B0000}"/>
    <cellStyle name="Связанная ячейка 171" xfId="26294" xr:uid="{00000000-0005-0000-0000-0000D36B0000}"/>
    <cellStyle name="Связанная ячейка 172" xfId="26295" xr:uid="{00000000-0005-0000-0000-0000D46B0000}"/>
    <cellStyle name="Связанная ячейка 18" xfId="26296" xr:uid="{00000000-0005-0000-0000-0000D56B0000}"/>
    <cellStyle name="Связанная ячейка 18 2" xfId="26972" xr:uid="{00000000-0005-0000-0000-0000D66B0000}"/>
    <cellStyle name="Связанная ячейка 19" xfId="26297" xr:uid="{00000000-0005-0000-0000-0000D76B0000}"/>
    <cellStyle name="Связанная ячейка 19 2" xfId="26975" xr:uid="{00000000-0005-0000-0000-0000D86B0000}"/>
    <cellStyle name="Связанная ячейка 2" xfId="26298" xr:uid="{00000000-0005-0000-0000-0000D96B0000}"/>
    <cellStyle name="Связанная ячейка 2 2" xfId="26299" xr:uid="{00000000-0005-0000-0000-0000DA6B0000}"/>
    <cellStyle name="Связанная ячейка 2 3" xfId="26300" xr:uid="{00000000-0005-0000-0000-0000DB6B0000}"/>
    <cellStyle name="Связанная ячейка 2 4" xfId="28137" xr:uid="{00000000-0005-0000-0000-0000DC6B0000}"/>
    <cellStyle name="Связанная ячейка 20" xfId="26301" xr:uid="{00000000-0005-0000-0000-0000DD6B0000}"/>
    <cellStyle name="Связанная ячейка 20 2" xfId="26962" xr:uid="{00000000-0005-0000-0000-0000DE6B0000}"/>
    <cellStyle name="Связанная ячейка 21" xfId="26302" xr:uid="{00000000-0005-0000-0000-0000DF6B0000}"/>
    <cellStyle name="Связанная ячейка 21 2" xfId="26984" xr:uid="{00000000-0005-0000-0000-0000E06B0000}"/>
    <cellStyle name="Связанная ячейка 22" xfId="26303" xr:uid="{00000000-0005-0000-0000-0000E16B0000}"/>
    <cellStyle name="Связанная ячейка 22 2" xfId="26949" xr:uid="{00000000-0005-0000-0000-0000E26B0000}"/>
    <cellStyle name="Связанная ячейка 23" xfId="26304" xr:uid="{00000000-0005-0000-0000-0000E36B0000}"/>
    <cellStyle name="Связанная ячейка 23 2" xfId="26997" xr:uid="{00000000-0005-0000-0000-0000E46B0000}"/>
    <cellStyle name="Связанная ячейка 24" xfId="26305" xr:uid="{00000000-0005-0000-0000-0000E56B0000}"/>
    <cellStyle name="Связанная ячейка 24 2" xfId="27064" xr:uid="{00000000-0005-0000-0000-0000E66B0000}"/>
    <cellStyle name="Связанная ячейка 25" xfId="26306" xr:uid="{00000000-0005-0000-0000-0000E76B0000}"/>
    <cellStyle name="Связанная ячейка 25 2" xfId="27067" xr:uid="{00000000-0005-0000-0000-0000E86B0000}"/>
    <cellStyle name="Связанная ячейка 26" xfId="26307" xr:uid="{00000000-0005-0000-0000-0000E96B0000}"/>
    <cellStyle name="Связанная ячейка 26 2" xfId="27055" xr:uid="{00000000-0005-0000-0000-0000EA6B0000}"/>
    <cellStyle name="Связанная ячейка 27" xfId="26308" xr:uid="{00000000-0005-0000-0000-0000EB6B0000}"/>
    <cellStyle name="Связанная ячейка 27 2" xfId="27076" xr:uid="{00000000-0005-0000-0000-0000EC6B0000}"/>
    <cellStyle name="Связанная ячейка 28" xfId="26309" xr:uid="{00000000-0005-0000-0000-0000ED6B0000}"/>
    <cellStyle name="Связанная ячейка 28 2" xfId="27130" xr:uid="{00000000-0005-0000-0000-0000EE6B0000}"/>
    <cellStyle name="Связанная ячейка 29" xfId="26310" xr:uid="{00000000-0005-0000-0000-0000EF6B0000}"/>
    <cellStyle name="Связанная ячейка 29 2" xfId="27133" xr:uid="{00000000-0005-0000-0000-0000F06B0000}"/>
    <cellStyle name="Связанная ячейка 3" xfId="26311" xr:uid="{00000000-0005-0000-0000-0000F16B0000}"/>
    <cellStyle name="Связанная ячейка 3 2" xfId="26312" xr:uid="{00000000-0005-0000-0000-0000F26B0000}"/>
    <cellStyle name="Связанная ячейка 3 3" xfId="26313" xr:uid="{00000000-0005-0000-0000-0000F36B0000}"/>
    <cellStyle name="Связанная ячейка 30" xfId="26314" xr:uid="{00000000-0005-0000-0000-0000F46B0000}"/>
    <cellStyle name="Связанная ячейка 30 2" xfId="27121" xr:uid="{00000000-0005-0000-0000-0000F56B0000}"/>
    <cellStyle name="Связанная ячейка 31" xfId="26315" xr:uid="{00000000-0005-0000-0000-0000F66B0000}"/>
    <cellStyle name="Связанная ячейка 31 2" xfId="27168" xr:uid="{00000000-0005-0000-0000-0000F76B0000}"/>
    <cellStyle name="Связанная ячейка 32" xfId="26316" xr:uid="{00000000-0005-0000-0000-0000F86B0000}"/>
    <cellStyle name="Связанная ячейка 32 2" xfId="27186" xr:uid="{00000000-0005-0000-0000-0000F96B0000}"/>
    <cellStyle name="Связанная ячейка 33" xfId="26317" xr:uid="{00000000-0005-0000-0000-0000FA6B0000}"/>
    <cellStyle name="Связанная ячейка 33 2" xfId="27213" xr:uid="{00000000-0005-0000-0000-0000FB6B0000}"/>
    <cellStyle name="Связанная ячейка 34" xfId="26318" xr:uid="{00000000-0005-0000-0000-0000FC6B0000}"/>
    <cellStyle name="Связанная ячейка 34 2" xfId="27228" xr:uid="{00000000-0005-0000-0000-0000FD6B0000}"/>
    <cellStyle name="Связанная ячейка 35" xfId="26319" xr:uid="{00000000-0005-0000-0000-0000FE6B0000}"/>
    <cellStyle name="Связанная ячейка 35 2" xfId="27235" xr:uid="{00000000-0005-0000-0000-0000FF6B0000}"/>
    <cellStyle name="Связанная ячейка 36" xfId="26320" xr:uid="{00000000-0005-0000-0000-0000006C0000}"/>
    <cellStyle name="Связанная ячейка 36 2" xfId="27291" xr:uid="{00000000-0005-0000-0000-0000016C0000}"/>
    <cellStyle name="Связанная ячейка 37" xfId="26321" xr:uid="{00000000-0005-0000-0000-0000026C0000}"/>
    <cellStyle name="Связанная ячейка 37 2" xfId="27299" xr:uid="{00000000-0005-0000-0000-0000036C0000}"/>
    <cellStyle name="Связанная ячейка 38" xfId="26322" xr:uid="{00000000-0005-0000-0000-0000046C0000}"/>
    <cellStyle name="Связанная ячейка 38 2" xfId="27278" xr:uid="{00000000-0005-0000-0000-0000056C0000}"/>
    <cellStyle name="Связанная ячейка 39" xfId="26323" xr:uid="{00000000-0005-0000-0000-0000066C0000}"/>
    <cellStyle name="Связанная ячейка 39 2" xfId="27308" xr:uid="{00000000-0005-0000-0000-0000076C0000}"/>
    <cellStyle name="Связанная ячейка 4" xfId="26324" xr:uid="{00000000-0005-0000-0000-0000086C0000}"/>
    <cellStyle name="Связанная ячейка 4 2" xfId="26325" xr:uid="{00000000-0005-0000-0000-0000096C0000}"/>
    <cellStyle name="Связанная ячейка 40" xfId="26326" xr:uid="{00000000-0005-0000-0000-00000A6C0000}"/>
    <cellStyle name="Связанная ячейка 40 2" xfId="27383" xr:uid="{00000000-0005-0000-0000-00000B6C0000}"/>
    <cellStyle name="Связанная ячейка 41" xfId="26327" xr:uid="{00000000-0005-0000-0000-00000C6C0000}"/>
    <cellStyle name="Связанная ячейка 41 2" xfId="27361" xr:uid="{00000000-0005-0000-0000-00000D6C0000}"/>
    <cellStyle name="Связанная ячейка 42" xfId="26328" xr:uid="{00000000-0005-0000-0000-00000E6C0000}"/>
    <cellStyle name="Связанная ячейка 42 2" xfId="27389" xr:uid="{00000000-0005-0000-0000-00000F6C0000}"/>
    <cellStyle name="Связанная ячейка 43" xfId="26329" xr:uid="{00000000-0005-0000-0000-0000106C0000}"/>
    <cellStyle name="Связанная ячейка 43 2" xfId="27410" xr:uid="{00000000-0005-0000-0000-0000116C0000}"/>
    <cellStyle name="Связанная ячейка 44" xfId="26330" xr:uid="{00000000-0005-0000-0000-0000126C0000}"/>
    <cellStyle name="Связанная ячейка 44 2" xfId="27419" xr:uid="{00000000-0005-0000-0000-0000136C0000}"/>
    <cellStyle name="Связанная ячейка 45" xfId="26331" xr:uid="{00000000-0005-0000-0000-0000146C0000}"/>
    <cellStyle name="Связанная ячейка 45 2" xfId="27486" xr:uid="{00000000-0005-0000-0000-0000156C0000}"/>
    <cellStyle name="Связанная ячейка 46" xfId="26332" xr:uid="{00000000-0005-0000-0000-0000166C0000}"/>
    <cellStyle name="Связанная ячейка 46 2" xfId="27479" xr:uid="{00000000-0005-0000-0000-0000176C0000}"/>
    <cellStyle name="Связанная ячейка 47" xfId="26333" xr:uid="{00000000-0005-0000-0000-0000186C0000}"/>
    <cellStyle name="Связанная ячейка 47 2" xfId="27496" xr:uid="{00000000-0005-0000-0000-0000196C0000}"/>
    <cellStyle name="Связанная ячейка 48" xfId="26334" xr:uid="{00000000-0005-0000-0000-00001A6C0000}"/>
    <cellStyle name="Связанная ячейка 48 2" xfId="27464" xr:uid="{00000000-0005-0000-0000-00001B6C0000}"/>
    <cellStyle name="Связанная ячейка 49" xfId="26335" xr:uid="{00000000-0005-0000-0000-00001C6C0000}"/>
    <cellStyle name="Связанная ячейка 49 2" xfId="27573" xr:uid="{00000000-0005-0000-0000-00001D6C0000}"/>
    <cellStyle name="Связанная ячейка 5" xfId="26336" xr:uid="{00000000-0005-0000-0000-00001E6C0000}"/>
    <cellStyle name="Связанная ячейка 5 2" xfId="26337" xr:uid="{00000000-0005-0000-0000-00001F6C0000}"/>
    <cellStyle name="Связанная ячейка 50" xfId="26338" xr:uid="{00000000-0005-0000-0000-0000206C0000}"/>
    <cellStyle name="Связанная ячейка 50 2" xfId="27565" xr:uid="{00000000-0005-0000-0000-0000216C0000}"/>
    <cellStyle name="Связанная ячейка 51" xfId="26339" xr:uid="{00000000-0005-0000-0000-0000226C0000}"/>
    <cellStyle name="Связанная ячейка 51 2" xfId="27582" xr:uid="{00000000-0005-0000-0000-0000236C0000}"/>
    <cellStyle name="Связанная ячейка 52" xfId="26340" xr:uid="{00000000-0005-0000-0000-0000246C0000}"/>
    <cellStyle name="Связанная ячейка 52 2" xfId="27550" xr:uid="{00000000-0005-0000-0000-0000256C0000}"/>
    <cellStyle name="Связанная ячейка 53" xfId="26341" xr:uid="{00000000-0005-0000-0000-0000266C0000}"/>
    <cellStyle name="Связанная ячейка 53 2" xfId="27632" xr:uid="{00000000-0005-0000-0000-0000276C0000}"/>
    <cellStyle name="Связанная ячейка 54" xfId="26342" xr:uid="{00000000-0005-0000-0000-0000286C0000}"/>
    <cellStyle name="Связанная ячейка 54 2" xfId="27685" xr:uid="{00000000-0005-0000-0000-0000296C0000}"/>
    <cellStyle name="Связанная ячейка 55" xfId="26343" xr:uid="{00000000-0005-0000-0000-00002A6C0000}"/>
    <cellStyle name="Связанная ячейка 55 2" xfId="27692" xr:uid="{00000000-0005-0000-0000-00002B6C0000}"/>
    <cellStyle name="Связанная ячейка 56" xfId="26344" xr:uid="{00000000-0005-0000-0000-00002C6C0000}"/>
    <cellStyle name="Связанная ячейка 56 2" xfId="27672" xr:uid="{00000000-0005-0000-0000-00002D6C0000}"/>
    <cellStyle name="Связанная ячейка 57" xfId="26345" xr:uid="{00000000-0005-0000-0000-00002E6C0000}"/>
    <cellStyle name="Связанная ячейка 57 2" xfId="27705" xr:uid="{00000000-0005-0000-0000-00002F6C0000}"/>
    <cellStyle name="Связанная ячейка 58" xfId="26346" xr:uid="{00000000-0005-0000-0000-0000306C0000}"/>
    <cellStyle name="Связанная ячейка 58 2" xfId="27655" xr:uid="{00000000-0005-0000-0000-0000316C0000}"/>
    <cellStyle name="Связанная ячейка 59" xfId="26347" xr:uid="{00000000-0005-0000-0000-0000326C0000}"/>
    <cellStyle name="Связанная ячейка 59 2" xfId="27769" xr:uid="{00000000-0005-0000-0000-0000336C0000}"/>
    <cellStyle name="Связанная ячейка 6" xfId="26348" xr:uid="{00000000-0005-0000-0000-0000346C0000}"/>
    <cellStyle name="Связанная ячейка 6 2" xfId="26349" xr:uid="{00000000-0005-0000-0000-0000356C0000}"/>
    <cellStyle name="Связанная ячейка 60" xfId="26350" xr:uid="{00000000-0005-0000-0000-0000366C0000}"/>
    <cellStyle name="Связанная ячейка 61" xfId="26351" xr:uid="{00000000-0005-0000-0000-0000376C0000}"/>
    <cellStyle name="Связанная ячейка 62" xfId="26352" xr:uid="{00000000-0005-0000-0000-0000386C0000}"/>
    <cellStyle name="Связанная ячейка 63" xfId="26353" xr:uid="{00000000-0005-0000-0000-0000396C0000}"/>
    <cellStyle name="Связанная ячейка 64" xfId="26354" xr:uid="{00000000-0005-0000-0000-00003A6C0000}"/>
    <cellStyle name="Связанная ячейка 65" xfId="26355" xr:uid="{00000000-0005-0000-0000-00003B6C0000}"/>
    <cellStyle name="Связанная ячейка 66" xfId="26356" xr:uid="{00000000-0005-0000-0000-00003C6C0000}"/>
    <cellStyle name="Связанная ячейка 67" xfId="26357" xr:uid="{00000000-0005-0000-0000-00003D6C0000}"/>
    <cellStyle name="Связанная ячейка 68" xfId="26358" xr:uid="{00000000-0005-0000-0000-00003E6C0000}"/>
    <cellStyle name="Связанная ячейка 69" xfId="26359" xr:uid="{00000000-0005-0000-0000-00003F6C0000}"/>
    <cellStyle name="Связанная ячейка 7" xfId="26360" xr:uid="{00000000-0005-0000-0000-0000406C0000}"/>
    <cellStyle name="Связанная ячейка 7 2" xfId="26361" xr:uid="{00000000-0005-0000-0000-0000416C0000}"/>
    <cellStyle name="Связанная ячейка 70" xfId="26362" xr:uid="{00000000-0005-0000-0000-0000426C0000}"/>
    <cellStyle name="Связанная ячейка 71" xfId="26363" xr:uid="{00000000-0005-0000-0000-0000436C0000}"/>
    <cellStyle name="Связанная ячейка 72" xfId="26364" xr:uid="{00000000-0005-0000-0000-0000446C0000}"/>
    <cellStyle name="Связанная ячейка 73" xfId="26365" xr:uid="{00000000-0005-0000-0000-0000456C0000}"/>
    <cellStyle name="Связанная ячейка 74" xfId="26366" xr:uid="{00000000-0005-0000-0000-0000466C0000}"/>
    <cellStyle name="Связанная ячейка 75" xfId="26367" xr:uid="{00000000-0005-0000-0000-0000476C0000}"/>
    <cellStyle name="Связанная ячейка 76" xfId="26368" xr:uid="{00000000-0005-0000-0000-0000486C0000}"/>
    <cellStyle name="Связанная ячейка 77" xfId="26369" xr:uid="{00000000-0005-0000-0000-0000496C0000}"/>
    <cellStyle name="Связанная ячейка 78" xfId="26370" xr:uid="{00000000-0005-0000-0000-00004A6C0000}"/>
    <cellStyle name="Связанная ячейка 79" xfId="26371" xr:uid="{00000000-0005-0000-0000-00004B6C0000}"/>
    <cellStyle name="Связанная ячейка 8" xfId="26372" xr:uid="{00000000-0005-0000-0000-00004C6C0000}"/>
    <cellStyle name="Связанная ячейка 8 2" xfId="26373" xr:uid="{00000000-0005-0000-0000-00004D6C0000}"/>
    <cellStyle name="Связанная ячейка 80" xfId="26374" xr:uid="{00000000-0005-0000-0000-00004E6C0000}"/>
    <cellStyle name="Связанная ячейка 81" xfId="26375" xr:uid="{00000000-0005-0000-0000-00004F6C0000}"/>
    <cellStyle name="Связанная ячейка 82" xfId="26376" xr:uid="{00000000-0005-0000-0000-0000506C0000}"/>
    <cellStyle name="Связанная ячейка 83" xfId="26377" xr:uid="{00000000-0005-0000-0000-0000516C0000}"/>
    <cellStyle name="Связанная ячейка 84" xfId="26378" xr:uid="{00000000-0005-0000-0000-0000526C0000}"/>
    <cellStyle name="Связанная ячейка 85" xfId="26379" xr:uid="{00000000-0005-0000-0000-0000536C0000}"/>
    <cellStyle name="Связанная ячейка 86" xfId="26380" xr:uid="{00000000-0005-0000-0000-0000546C0000}"/>
    <cellStyle name="Связанная ячейка 87" xfId="26381" xr:uid="{00000000-0005-0000-0000-0000556C0000}"/>
    <cellStyle name="Связанная ячейка 88" xfId="26382" xr:uid="{00000000-0005-0000-0000-0000566C0000}"/>
    <cellStyle name="Связанная ячейка 89" xfId="26383" xr:uid="{00000000-0005-0000-0000-0000576C0000}"/>
    <cellStyle name="Связанная ячейка 9" xfId="26384" xr:uid="{00000000-0005-0000-0000-0000586C0000}"/>
    <cellStyle name="Связанная ячейка 9 2" xfId="26385" xr:uid="{00000000-0005-0000-0000-0000596C0000}"/>
    <cellStyle name="Связанная ячейка 90" xfId="26386" xr:uid="{00000000-0005-0000-0000-00005A6C0000}"/>
    <cellStyle name="Связанная ячейка 91" xfId="26387" xr:uid="{00000000-0005-0000-0000-00005B6C0000}"/>
    <cellStyle name="Связанная ячейка 92" xfId="26388" xr:uid="{00000000-0005-0000-0000-00005C6C0000}"/>
    <cellStyle name="Связанная ячейка 93" xfId="26389" xr:uid="{00000000-0005-0000-0000-00005D6C0000}"/>
    <cellStyle name="Связанная ячейка 94" xfId="26390" xr:uid="{00000000-0005-0000-0000-00005E6C0000}"/>
    <cellStyle name="Связанная ячейка 95" xfId="26391" xr:uid="{00000000-0005-0000-0000-00005F6C0000}"/>
    <cellStyle name="Связанная ячейка 96" xfId="26392" xr:uid="{00000000-0005-0000-0000-0000606C0000}"/>
    <cellStyle name="Связанная ячейка 97" xfId="26393" xr:uid="{00000000-0005-0000-0000-0000616C0000}"/>
    <cellStyle name="Связанная ячейка 98" xfId="26394" xr:uid="{00000000-0005-0000-0000-0000626C0000}"/>
    <cellStyle name="Связанная ячейка 99" xfId="26395" xr:uid="{00000000-0005-0000-0000-0000636C0000}"/>
    <cellStyle name="Стиль 1" xfId="26396" xr:uid="{00000000-0005-0000-0000-0000646C0000}"/>
    <cellStyle name="Стиль 1 2" xfId="26397" xr:uid="{00000000-0005-0000-0000-0000656C0000}"/>
    <cellStyle name="ТЕКСТ" xfId="26398" xr:uid="{00000000-0005-0000-0000-0000666C0000}"/>
    <cellStyle name="Текст предупреждения 10" xfId="26399" xr:uid="{00000000-0005-0000-0000-0000676C0000}"/>
    <cellStyle name="Текст предупреждения 10 2" xfId="26400" xr:uid="{00000000-0005-0000-0000-0000686C0000}"/>
    <cellStyle name="Текст предупреждения 100" xfId="26401" xr:uid="{00000000-0005-0000-0000-0000696C0000}"/>
    <cellStyle name="Текст предупреждения 101" xfId="26402" xr:uid="{00000000-0005-0000-0000-00006A6C0000}"/>
    <cellStyle name="Текст предупреждения 102" xfId="26403" xr:uid="{00000000-0005-0000-0000-00006B6C0000}"/>
    <cellStyle name="Текст предупреждения 103" xfId="26404" xr:uid="{00000000-0005-0000-0000-00006C6C0000}"/>
    <cellStyle name="Текст предупреждения 104" xfId="26405" xr:uid="{00000000-0005-0000-0000-00006D6C0000}"/>
    <cellStyle name="Текст предупреждения 105" xfId="26406" xr:uid="{00000000-0005-0000-0000-00006E6C0000}"/>
    <cellStyle name="Текст предупреждения 106" xfId="26407" xr:uid="{00000000-0005-0000-0000-00006F6C0000}"/>
    <cellStyle name="Текст предупреждения 107" xfId="26408" xr:uid="{00000000-0005-0000-0000-0000706C0000}"/>
    <cellStyle name="Текст предупреждения 108" xfId="26409" xr:uid="{00000000-0005-0000-0000-0000716C0000}"/>
    <cellStyle name="Текст предупреждения 109" xfId="26410" xr:uid="{00000000-0005-0000-0000-0000726C0000}"/>
    <cellStyle name="Текст предупреждения 11" xfId="26411" xr:uid="{00000000-0005-0000-0000-0000736C0000}"/>
    <cellStyle name="Текст предупреждения 11 2" xfId="26412" xr:uid="{00000000-0005-0000-0000-0000746C0000}"/>
    <cellStyle name="Текст предупреждения 11 3" xfId="26847" xr:uid="{00000000-0005-0000-0000-0000756C0000}"/>
    <cellStyle name="Текст предупреждения 110" xfId="26413" xr:uid="{00000000-0005-0000-0000-0000766C0000}"/>
    <cellStyle name="Текст предупреждения 111" xfId="26414" xr:uid="{00000000-0005-0000-0000-0000776C0000}"/>
    <cellStyle name="Текст предупреждения 112" xfId="26415" xr:uid="{00000000-0005-0000-0000-0000786C0000}"/>
    <cellStyle name="Текст предупреждения 113" xfId="26416" xr:uid="{00000000-0005-0000-0000-0000796C0000}"/>
    <cellStyle name="Текст предупреждения 114" xfId="26417" xr:uid="{00000000-0005-0000-0000-00007A6C0000}"/>
    <cellStyle name="Текст предупреждения 115" xfId="26418" xr:uid="{00000000-0005-0000-0000-00007B6C0000}"/>
    <cellStyle name="Текст предупреждения 116" xfId="26419" xr:uid="{00000000-0005-0000-0000-00007C6C0000}"/>
    <cellStyle name="Текст предупреждения 117" xfId="26420" xr:uid="{00000000-0005-0000-0000-00007D6C0000}"/>
    <cellStyle name="Текст предупреждения 118" xfId="26421" xr:uid="{00000000-0005-0000-0000-00007E6C0000}"/>
    <cellStyle name="Текст предупреждения 119" xfId="26422" xr:uid="{00000000-0005-0000-0000-00007F6C0000}"/>
    <cellStyle name="Текст предупреждения 12" xfId="26423" xr:uid="{00000000-0005-0000-0000-0000806C0000}"/>
    <cellStyle name="Текст предупреждения 12 2" xfId="26888" xr:uid="{00000000-0005-0000-0000-0000816C0000}"/>
    <cellStyle name="Текст предупреждения 120" xfId="26424" xr:uid="{00000000-0005-0000-0000-0000826C0000}"/>
    <cellStyle name="Текст предупреждения 121" xfId="26425" xr:uid="{00000000-0005-0000-0000-0000836C0000}"/>
    <cellStyle name="Текст предупреждения 122" xfId="26426" xr:uid="{00000000-0005-0000-0000-0000846C0000}"/>
    <cellStyle name="Текст предупреждения 123" xfId="26427" xr:uid="{00000000-0005-0000-0000-0000856C0000}"/>
    <cellStyle name="Текст предупреждения 124" xfId="26428" xr:uid="{00000000-0005-0000-0000-0000866C0000}"/>
    <cellStyle name="Текст предупреждения 125" xfId="26429" xr:uid="{00000000-0005-0000-0000-0000876C0000}"/>
    <cellStyle name="Текст предупреждения 126" xfId="26430" xr:uid="{00000000-0005-0000-0000-0000886C0000}"/>
    <cellStyle name="Текст предупреждения 127" xfId="26431" xr:uid="{00000000-0005-0000-0000-0000896C0000}"/>
    <cellStyle name="Текст предупреждения 128" xfId="26432" xr:uid="{00000000-0005-0000-0000-00008A6C0000}"/>
    <cellStyle name="Текст предупреждения 129" xfId="26433" xr:uid="{00000000-0005-0000-0000-00008B6C0000}"/>
    <cellStyle name="Текст предупреждения 13" xfId="26434" xr:uid="{00000000-0005-0000-0000-00008C6C0000}"/>
    <cellStyle name="Текст предупреждения 13 2" xfId="26894" xr:uid="{00000000-0005-0000-0000-00008D6C0000}"/>
    <cellStyle name="Текст предупреждения 130" xfId="26435" xr:uid="{00000000-0005-0000-0000-00008E6C0000}"/>
    <cellStyle name="Текст предупреждения 131" xfId="26436" xr:uid="{00000000-0005-0000-0000-00008F6C0000}"/>
    <cellStyle name="Текст предупреждения 132" xfId="26437" xr:uid="{00000000-0005-0000-0000-0000906C0000}"/>
    <cellStyle name="Текст предупреждения 133" xfId="26438" xr:uid="{00000000-0005-0000-0000-0000916C0000}"/>
    <cellStyle name="Текст предупреждения 134" xfId="26439" xr:uid="{00000000-0005-0000-0000-0000926C0000}"/>
    <cellStyle name="Текст предупреждения 135" xfId="26440" xr:uid="{00000000-0005-0000-0000-0000936C0000}"/>
    <cellStyle name="Текст предупреждения 136" xfId="26441" xr:uid="{00000000-0005-0000-0000-0000946C0000}"/>
    <cellStyle name="Текст предупреждения 137" xfId="26442" xr:uid="{00000000-0005-0000-0000-0000956C0000}"/>
    <cellStyle name="Текст предупреждения 138" xfId="26443" xr:uid="{00000000-0005-0000-0000-0000966C0000}"/>
    <cellStyle name="Текст предупреждения 139" xfId="26444" xr:uid="{00000000-0005-0000-0000-0000976C0000}"/>
    <cellStyle name="Текст предупреждения 14" xfId="26445" xr:uid="{00000000-0005-0000-0000-0000986C0000}"/>
    <cellStyle name="Текст предупреждения 14 2" xfId="26895" xr:uid="{00000000-0005-0000-0000-0000996C0000}"/>
    <cellStyle name="Текст предупреждения 140" xfId="26446" xr:uid="{00000000-0005-0000-0000-00009A6C0000}"/>
    <cellStyle name="Текст предупреждения 141" xfId="26447" xr:uid="{00000000-0005-0000-0000-00009B6C0000}"/>
    <cellStyle name="Текст предупреждения 142" xfId="26448" xr:uid="{00000000-0005-0000-0000-00009C6C0000}"/>
    <cellStyle name="Текст предупреждения 143" xfId="26449" xr:uid="{00000000-0005-0000-0000-00009D6C0000}"/>
    <cellStyle name="Текст предупреждения 144" xfId="26450" xr:uid="{00000000-0005-0000-0000-00009E6C0000}"/>
    <cellStyle name="Текст предупреждения 145" xfId="26451" xr:uid="{00000000-0005-0000-0000-00009F6C0000}"/>
    <cellStyle name="Текст предупреждения 146" xfId="26452" xr:uid="{00000000-0005-0000-0000-0000A06C0000}"/>
    <cellStyle name="Текст предупреждения 147" xfId="26453" xr:uid="{00000000-0005-0000-0000-0000A16C0000}"/>
    <cellStyle name="Текст предупреждения 148" xfId="26454" xr:uid="{00000000-0005-0000-0000-0000A26C0000}"/>
    <cellStyle name="Текст предупреждения 149" xfId="26455" xr:uid="{00000000-0005-0000-0000-0000A36C0000}"/>
    <cellStyle name="Текст предупреждения 15" xfId="26456" xr:uid="{00000000-0005-0000-0000-0000A46C0000}"/>
    <cellStyle name="Текст предупреждения 15 2" xfId="26936" xr:uid="{00000000-0005-0000-0000-0000A56C0000}"/>
    <cellStyle name="Текст предупреждения 150" xfId="26457" xr:uid="{00000000-0005-0000-0000-0000A66C0000}"/>
    <cellStyle name="Текст предупреждения 151" xfId="26458" xr:uid="{00000000-0005-0000-0000-0000A76C0000}"/>
    <cellStyle name="Текст предупреждения 152" xfId="26459" xr:uid="{00000000-0005-0000-0000-0000A86C0000}"/>
    <cellStyle name="Текст предупреждения 153" xfId="26460" xr:uid="{00000000-0005-0000-0000-0000A96C0000}"/>
    <cellStyle name="Текст предупреждения 154" xfId="26461" xr:uid="{00000000-0005-0000-0000-0000AA6C0000}"/>
    <cellStyle name="Текст предупреждения 155" xfId="26462" xr:uid="{00000000-0005-0000-0000-0000AB6C0000}"/>
    <cellStyle name="Текст предупреждения 156" xfId="26463" xr:uid="{00000000-0005-0000-0000-0000AC6C0000}"/>
    <cellStyle name="Текст предупреждения 157" xfId="26464" xr:uid="{00000000-0005-0000-0000-0000AD6C0000}"/>
    <cellStyle name="Текст предупреждения 158" xfId="26465" xr:uid="{00000000-0005-0000-0000-0000AE6C0000}"/>
    <cellStyle name="Текст предупреждения 159" xfId="26466" xr:uid="{00000000-0005-0000-0000-0000AF6C0000}"/>
    <cellStyle name="Текст предупреждения 16" xfId="26467" xr:uid="{00000000-0005-0000-0000-0000B06C0000}"/>
    <cellStyle name="Текст предупреждения 16 2" xfId="26942" xr:uid="{00000000-0005-0000-0000-0000B16C0000}"/>
    <cellStyle name="Текст предупреждения 160" xfId="26468" xr:uid="{00000000-0005-0000-0000-0000B26C0000}"/>
    <cellStyle name="Текст предупреждения 161" xfId="26469" xr:uid="{00000000-0005-0000-0000-0000B36C0000}"/>
    <cellStyle name="Текст предупреждения 162" xfId="26470" xr:uid="{00000000-0005-0000-0000-0000B46C0000}"/>
    <cellStyle name="Текст предупреждения 163" xfId="26471" xr:uid="{00000000-0005-0000-0000-0000B56C0000}"/>
    <cellStyle name="Текст предупреждения 164" xfId="26472" xr:uid="{00000000-0005-0000-0000-0000B66C0000}"/>
    <cellStyle name="Текст предупреждения 165" xfId="26473" xr:uid="{00000000-0005-0000-0000-0000B76C0000}"/>
    <cellStyle name="Текст предупреждения 166" xfId="26474" xr:uid="{00000000-0005-0000-0000-0000B86C0000}"/>
    <cellStyle name="Текст предупреждения 167" xfId="26475" xr:uid="{00000000-0005-0000-0000-0000B96C0000}"/>
    <cellStyle name="Текст предупреждения 168" xfId="26476" xr:uid="{00000000-0005-0000-0000-0000BA6C0000}"/>
    <cellStyle name="Текст предупреждения 169" xfId="26477" xr:uid="{00000000-0005-0000-0000-0000BB6C0000}"/>
    <cellStyle name="Текст предупреждения 17" xfId="26478" xr:uid="{00000000-0005-0000-0000-0000BC6C0000}"/>
    <cellStyle name="Текст предупреждения 17 2" xfId="26943" xr:uid="{00000000-0005-0000-0000-0000BD6C0000}"/>
    <cellStyle name="Текст предупреждения 170" xfId="26479" xr:uid="{00000000-0005-0000-0000-0000BE6C0000}"/>
    <cellStyle name="Текст предупреждения 171" xfId="26480" xr:uid="{00000000-0005-0000-0000-0000BF6C0000}"/>
    <cellStyle name="Текст предупреждения 172" xfId="26481" xr:uid="{00000000-0005-0000-0000-0000C06C0000}"/>
    <cellStyle name="Текст предупреждения 18" xfId="26482" xr:uid="{00000000-0005-0000-0000-0000C16C0000}"/>
    <cellStyle name="Текст предупреждения 18 2" xfId="27003" xr:uid="{00000000-0005-0000-0000-0000C26C0000}"/>
    <cellStyle name="Текст предупреждения 19" xfId="26483" xr:uid="{00000000-0005-0000-0000-0000C36C0000}"/>
    <cellStyle name="Текст предупреждения 19 2" xfId="27015" xr:uid="{00000000-0005-0000-0000-0000C46C0000}"/>
    <cellStyle name="Текст предупреждения 2" xfId="26484" xr:uid="{00000000-0005-0000-0000-0000C56C0000}"/>
    <cellStyle name="Текст предупреждения 2 2" xfId="26485" xr:uid="{00000000-0005-0000-0000-0000C66C0000}"/>
    <cellStyle name="Текст предупреждения 2 3" xfId="26486" xr:uid="{00000000-0005-0000-0000-0000C76C0000}"/>
    <cellStyle name="Текст предупреждения 2 4" xfId="28139" xr:uid="{00000000-0005-0000-0000-0000C86C0000}"/>
    <cellStyle name="Текст предупреждения 20" xfId="26487" xr:uid="{00000000-0005-0000-0000-0000C96C0000}"/>
    <cellStyle name="Текст предупреждения 20 2" xfId="27027" xr:uid="{00000000-0005-0000-0000-0000CA6C0000}"/>
    <cellStyle name="Текст предупреждения 21" xfId="26488" xr:uid="{00000000-0005-0000-0000-0000CB6C0000}"/>
    <cellStyle name="Текст предупреждения 21 2" xfId="27033" xr:uid="{00000000-0005-0000-0000-0000CC6C0000}"/>
    <cellStyle name="Текст предупреждения 22" xfId="26489" xr:uid="{00000000-0005-0000-0000-0000CD6C0000}"/>
    <cellStyle name="Текст предупреждения 22 2" xfId="27039" xr:uid="{00000000-0005-0000-0000-0000CE6C0000}"/>
    <cellStyle name="Текст предупреждения 23" xfId="26490" xr:uid="{00000000-0005-0000-0000-0000CF6C0000}"/>
    <cellStyle name="Текст предупреждения 23 2" xfId="27040" xr:uid="{00000000-0005-0000-0000-0000D06C0000}"/>
    <cellStyle name="Текст предупреждения 24" xfId="26491" xr:uid="{00000000-0005-0000-0000-0000D16C0000}"/>
    <cellStyle name="Текст предупреждения 24 2" xfId="27091" xr:uid="{00000000-0005-0000-0000-0000D26C0000}"/>
    <cellStyle name="Текст предупреждения 25" xfId="26492" xr:uid="{00000000-0005-0000-0000-0000D36C0000}"/>
    <cellStyle name="Текст предупреждения 25 2" xfId="27097" xr:uid="{00000000-0005-0000-0000-0000D46C0000}"/>
    <cellStyle name="Текст предупреждения 26" xfId="26493" xr:uid="{00000000-0005-0000-0000-0000D56C0000}"/>
    <cellStyle name="Текст предупреждения 26 2" xfId="27103" xr:uid="{00000000-0005-0000-0000-0000D66C0000}"/>
    <cellStyle name="Текст предупреждения 27" xfId="26494" xr:uid="{00000000-0005-0000-0000-0000D76C0000}"/>
    <cellStyle name="Текст предупреждения 27 2" xfId="27105" xr:uid="{00000000-0005-0000-0000-0000D86C0000}"/>
    <cellStyle name="Текст предупреждения 28" xfId="26495" xr:uid="{00000000-0005-0000-0000-0000D96C0000}"/>
    <cellStyle name="Текст предупреждения 28 2" xfId="27147" xr:uid="{00000000-0005-0000-0000-0000DA6C0000}"/>
    <cellStyle name="Текст предупреждения 29" xfId="26496" xr:uid="{00000000-0005-0000-0000-0000DB6C0000}"/>
    <cellStyle name="Текст предупреждения 29 2" xfId="27153" xr:uid="{00000000-0005-0000-0000-0000DC6C0000}"/>
    <cellStyle name="Текст предупреждения 3" xfId="26497" xr:uid="{00000000-0005-0000-0000-0000DD6C0000}"/>
    <cellStyle name="Текст предупреждения 3 2" xfId="26498" xr:uid="{00000000-0005-0000-0000-0000DE6C0000}"/>
    <cellStyle name="Текст предупреждения 3 3" xfId="26499" xr:uid="{00000000-0005-0000-0000-0000DF6C0000}"/>
    <cellStyle name="Текст предупреждения 30" xfId="26500" xr:uid="{00000000-0005-0000-0000-0000E06C0000}"/>
    <cellStyle name="Текст предупреждения 30 2" xfId="27154" xr:uid="{00000000-0005-0000-0000-0000E16C0000}"/>
    <cellStyle name="Текст предупреждения 31" xfId="26501" xr:uid="{00000000-0005-0000-0000-0000E26C0000}"/>
    <cellStyle name="Текст предупреждения 31 2" xfId="27170" xr:uid="{00000000-0005-0000-0000-0000E36C0000}"/>
    <cellStyle name="Текст предупреждения 32" xfId="26502" xr:uid="{00000000-0005-0000-0000-0000E46C0000}"/>
    <cellStyle name="Текст предупреждения 32 2" xfId="27191" xr:uid="{00000000-0005-0000-0000-0000E56C0000}"/>
    <cellStyle name="Текст предупреждения 33" xfId="26503" xr:uid="{00000000-0005-0000-0000-0000E66C0000}"/>
    <cellStyle name="Текст предупреждения 33 2" xfId="27219" xr:uid="{00000000-0005-0000-0000-0000E76C0000}"/>
    <cellStyle name="Текст предупреждения 34" xfId="26504" xr:uid="{00000000-0005-0000-0000-0000E86C0000}"/>
    <cellStyle name="Текст предупреждения 34 2" xfId="27252" xr:uid="{00000000-0005-0000-0000-0000E96C0000}"/>
    <cellStyle name="Текст предупреждения 35" xfId="26505" xr:uid="{00000000-0005-0000-0000-0000EA6C0000}"/>
    <cellStyle name="Текст предупреждения 35 2" xfId="27254" xr:uid="{00000000-0005-0000-0000-0000EB6C0000}"/>
    <cellStyle name="Текст предупреждения 36" xfId="26506" xr:uid="{00000000-0005-0000-0000-0000EC6C0000}"/>
    <cellStyle name="Текст предупреждения 36 2" xfId="27329" xr:uid="{00000000-0005-0000-0000-0000ED6C0000}"/>
    <cellStyle name="Текст предупреждения 37" xfId="26507" xr:uid="{00000000-0005-0000-0000-0000EE6C0000}"/>
    <cellStyle name="Текст предупреждения 37 2" xfId="27336" xr:uid="{00000000-0005-0000-0000-0000EF6C0000}"/>
    <cellStyle name="Текст предупреждения 38" xfId="26508" xr:uid="{00000000-0005-0000-0000-0000F06C0000}"/>
    <cellStyle name="Текст предупреждения 38 2" xfId="27343" xr:uid="{00000000-0005-0000-0000-0000F16C0000}"/>
    <cellStyle name="Текст предупреждения 39" xfId="26509" xr:uid="{00000000-0005-0000-0000-0000F26C0000}"/>
    <cellStyle name="Текст предупреждения 39 2" xfId="27345" xr:uid="{00000000-0005-0000-0000-0000F36C0000}"/>
    <cellStyle name="Текст предупреждения 4" xfId="26510" xr:uid="{00000000-0005-0000-0000-0000F46C0000}"/>
    <cellStyle name="Текст предупреждения 4 2" xfId="26511" xr:uid="{00000000-0005-0000-0000-0000F56C0000}"/>
    <cellStyle name="Текст предупреждения 40" xfId="26512" xr:uid="{00000000-0005-0000-0000-0000F66C0000}"/>
    <cellStyle name="Текст предупреждения 40 2" xfId="27407" xr:uid="{00000000-0005-0000-0000-0000F76C0000}"/>
    <cellStyle name="Текст предупреждения 41" xfId="26513" xr:uid="{00000000-0005-0000-0000-0000F86C0000}"/>
    <cellStyle name="Текст предупреждения 41 2" xfId="27431" xr:uid="{00000000-0005-0000-0000-0000F96C0000}"/>
    <cellStyle name="Текст предупреждения 42" xfId="26514" xr:uid="{00000000-0005-0000-0000-0000FA6C0000}"/>
    <cellStyle name="Текст предупреждения 42 2" xfId="27438" xr:uid="{00000000-0005-0000-0000-0000FB6C0000}"/>
    <cellStyle name="Текст предупреждения 43" xfId="26515" xr:uid="{00000000-0005-0000-0000-0000FC6C0000}"/>
    <cellStyle name="Текст предупреждения 43 2" xfId="27449" xr:uid="{00000000-0005-0000-0000-0000FD6C0000}"/>
    <cellStyle name="Текст предупреждения 44" xfId="26516" xr:uid="{00000000-0005-0000-0000-0000FE6C0000}"/>
    <cellStyle name="Текст предупреждения 44 2" xfId="27451" xr:uid="{00000000-0005-0000-0000-0000FF6C0000}"/>
    <cellStyle name="Текст предупреждения 45" xfId="26517" xr:uid="{00000000-0005-0000-0000-0000006D0000}"/>
    <cellStyle name="Текст предупреждения 45 2" xfId="27520" xr:uid="{00000000-0005-0000-0000-0000016D0000}"/>
    <cellStyle name="Текст предупреждения 46" xfId="26518" xr:uid="{00000000-0005-0000-0000-0000026D0000}"/>
    <cellStyle name="Текст предупреждения 46 2" xfId="27527" xr:uid="{00000000-0005-0000-0000-0000036D0000}"/>
    <cellStyle name="Текст предупреждения 47" xfId="26519" xr:uid="{00000000-0005-0000-0000-0000046D0000}"/>
    <cellStyle name="Текст предупреждения 47 2" xfId="27534" xr:uid="{00000000-0005-0000-0000-0000056D0000}"/>
    <cellStyle name="Текст предупреждения 48" xfId="26520" xr:uid="{00000000-0005-0000-0000-0000066D0000}"/>
    <cellStyle name="Текст предупреждения 48 2" xfId="27536" xr:uid="{00000000-0005-0000-0000-0000076D0000}"/>
    <cellStyle name="Текст предупреждения 49" xfId="26521" xr:uid="{00000000-0005-0000-0000-0000086D0000}"/>
    <cellStyle name="Текст предупреждения 49 2" xfId="27611" xr:uid="{00000000-0005-0000-0000-0000096D0000}"/>
    <cellStyle name="Текст предупреждения 5" xfId="26522" xr:uid="{00000000-0005-0000-0000-00000A6D0000}"/>
    <cellStyle name="Текст предупреждения 5 2" xfId="26523" xr:uid="{00000000-0005-0000-0000-00000B6D0000}"/>
    <cellStyle name="Текст предупреждения 50" xfId="26524" xr:uid="{00000000-0005-0000-0000-00000C6D0000}"/>
    <cellStyle name="Текст предупреждения 50 2" xfId="27623" xr:uid="{00000000-0005-0000-0000-00000D6D0000}"/>
    <cellStyle name="Текст предупреждения 51" xfId="26525" xr:uid="{00000000-0005-0000-0000-00000E6D0000}"/>
    <cellStyle name="Текст предупреждения 51 2" xfId="27640" xr:uid="{00000000-0005-0000-0000-00000F6D0000}"/>
    <cellStyle name="Текст предупреждения 52" xfId="26526" xr:uid="{00000000-0005-0000-0000-0000106D0000}"/>
    <cellStyle name="Текст предупреждения 52 2" xfId="27645" xr:uid="{00000000-0005-0000-0000-0000116D0000}"/>
    <cellStyle name="Текст предупреждения 53" xfId="26527" xr:uid="{00000000-0005-0000-0000-0000126D0000}"/>
    <cellStyle name="Текст предупреждения 53 2" xfId="27648" xr:uid="{00000000-0005-0000-0000-0000136D0000}"/>
    <cellStyle name="Текст предупреждения 54" xfId="26528" xr:uid="{00000000-0005-0000-0000-0000146D0000}"/>
    <cellStyle name="Текст предупреждения 54 2" xfId="27723" xr:uid="{00000000-0005-0000-0000-0000156D0000}"/>
    <cellStyle name="Текст предупреждения 55" xfId="26529" xr:uid="{00000000-0005-0000-0000-0000166D0000}"/>
    <cellStyle name="Текст предупреждения 55 2" xfId="27737" xr:uid="{00000000-0005-0000-0000-0000176D0000}"/>
    <cellStyle name="Текст предупреждения 56" xfId="26530" xr:uid="{00000000-0005-0000-0000-0000186D0000}"/>
    <cellStyle name="Текст предупреждения 56 2" xfId="27744" xr:uid="{00000000-0005-0000-0000-0000196D0000}"/>
    <cellStyle name="Текст предупреждения 57" xfId="26531" xr:uid="{00000000-0005-0000-0000-00001A6D0000}"/>
    <cellStyle name="Текст предупреждения 57 2" xfId="27751" xr:uid="{00000000-0005-0000-0000-00001B6D0000}"/>
    <cellStyle name="Текст предупреждения 58" xfId="26532" xr:uid="{00000000-0005-0000-0000-00001C6D0000}"/>
    <cellStyle name="Текст предупреждения 58 2" xfId="27753" xr:uid="{00000000-0005-0000-0000-00001D6D0000}"/>
    <cellStyle name="Текст предупреждения 59" xfId="26533" xr:uid="{00000000-0005-0000-0000-00001E6D0000}"/>
    <cellStyle name="Текст предупреждения 59 2" xfId="27774" xr:uid="{00000000-0005-0000-0000-00001F6D0000}"/>
    <cellStyle name="Текст предупреждения 6" xfId="26534" xr:uid="{00000000-0005-0000-0000-0000206D0000}"/>
    <cellStyle name="Текст предупреждения 6 2" xfId="26535" xr:uid="{00000000-0005-0000-0000-0000216D0000}"/>
    <cellStyle name="Текст предупреждения 60" xfId="26536" xr:uid="{00000000-0005-0000-0000-0000226D0000}"/>
    <cellStyle name="Текст предупреждения 61" xfId="26537" xr:uid="{00000000-0005-0000-0000-0000236D0000}"/>
    <cellStyle name="Текст предупреждения 62" xfId="26538" xr:uid="{00000000-0005-0000-0000-0000246D0000}"/>
    <cellStyle name="Текст предупреждения 63" xfId="26539" xr:uid="{00000000-0005-0000-0000-0000256D0000}"/>
    <cellStyle name="Текст предупреждения 64" xfId="26540" xr:uid="{00000000-0005-0000-0000-0000266D0000}"/>
    <cellStyle name="Текст предупреждения 65" xfId="26541" xr:uid="{00000000-0005-0000-0000-0000276D0000}"/>
    <cellStyle name="Текст предупреждения 66" xfId="26542" xr:uid="{00000000-0005-0000-0000-0000286D0000}"/>
    <cellStyle name="Текст предупреждения 67" xfId="26543" xr:uid="{00000000-0005-0000-0000-0000296D0000}"/>
    <cellStyle name="Текст предупреждения 68" xfId="26544" xr:uid="{00000000-0005-0000-0000-00002A6D0000}"/>
    <cellStyle name="Текст предупреждения 69" xfId="26545" xr:uid="{00000000-0005-0000-0000-00002B6D0000}"/>
    <cellStyle name="Текст предупреждения 7" xfId="26546" xr:uid="{00000000-0005-0000-0000-00002C6D0000}"/>
    <cellStyle name="Текст предупреждения 7 2" xfId="26547" xr:uid="{00000000-0005-0000-0000-00002D6D0000}"/>
    <cellStyle name="Текст предупреждения 70" xfId="26548" xr:uid="{00000000-0005-0000-0000-00002E6D0000}"/>
    <cellStyle name="Текст предупреждения 71" xfId="26549" xr:uid="{00000000-0005-0000-0000-00002F6D0000}"/>
    <cellStyle name="Текст предупреждения 72" xfId="26550" xr:uid="{00000000-0005-0000-0000-0000306D0000}"/>
    <cellStyle name="Текст предупреждения 73" xfId="26551" xr:uid="{00000000-0005-0000-0000-0000316D0000}"/>
    <cellStyle name="Текст предупреждения 74" xfId="26552" xr:uid="{00000000-0005-0000-0000-0000326D0000}"/>
    <cellStyle name="Текст предупреждения 75" xfId="26553" xr:uid="{00000000-0005-0000-0000-0000336D0000}"/>
    <cellStyle name="Текст предупреждения 76" xfId="26554" xr:uid="{00000000-0005-0000-0000-0000346D0000}"/>
    <cellStyle name="Текст предупреждения 77" xfId="26555" xr:uid="{00000000-0005-0000-0000-0000356D0000}"/>
    <cellStyle name="Текст предупреждения 78" xfId="26556" xr:uid="{00000000-0005-0000-0000-0000366D0000}"/>
    <cellStyle name="Текст предупреждения 79" xfId="26557" xr:uid="{00000000-0005-0000-0000-0000376D0000}"/>
    <cellStyle name="Текст предупреждения 8" xfId="26558" xr:uid="{00000000-0005-0000-0000-0000386D0000}"/>
    <cellStyle name="Текст предупреждения 8 2" xfId="26559" xr:uid="{00000000-0005-0000-0000-0000396D0000}"/>
    <cellStyle name="Текст предупреждения 80" xfId="26560" xr:uid="{00000000-0005-0000-0000-00003A6D0000}"/>
    <cellStyle name="Текст предупреждения 81" xfId="26561" xr:uid="{00000000-0005-0000-0000-00003B6D0000}"/>
    <cellStyle name="Текст предупреждения 82" xfId="26562" xr:uid="{00000000-0005-0000-0000-00003C6D0000}"/>
    <cellStyle name="Текст предупреждения 83" xfId="26563" xr:uid="{00000000-0005-0000-0000-00003D6D0000}"/>
    <cellStyle name="Текст предупреждения 84" xfId="26564" xr:uid="{00000000-0005-0000-0000-00003E6D0000}"/>
    <cellStyle name="Текст предупреждения 85" xfId="26565" xr:uid="{00000000-0005-0000-0000-00003F6D0000}"/>
    <cellStyle name="Текст предупреждения 86" xfId="26566" xr:uid="{00000000-0005-0000-0000-0000406D0000}"/>
    <cellStyle name="Текст предупреждения 87" xfId="26567" xr:uid="{00000000-0005-0000-0000-0000416D0000}"/>
    <cellStyle name="Текст предупреждения 88" xfId="26568" xr:uid="{00000000-0005-0000-0000-0000426D0000}"/>
    <cellStyle name="Текст предупреждения 89" xfId="26569" xr:uid="{00000000-0005-0000-0000-0000436D0000}"/>
    <cellStyle name="Текст предупреждения 9" xfId="26570" xr:uid="{00000000-0005-0000-0000-0000446D0000}"/>
    <cellStyle name="Текст предупреждения 9 2" xfId="26571" xr:uid="{00000000-0005-0000-0000-0000456D0000}"/>
    <cellStyle name="Текст предупреждения 90" xfId="26572" xr:uid="{00000000-0005-0000-0000-0000466D0000}"/>
    <cellStyle name="Текст предупреждения 91" xfId="26573" xr:uid="{00000000-0005-0000-0000-0000476D0000}"/>
    <cellStyle name="Текст предупреждения 92" xfId="26574" xr:uid="{00000000-0005-0000-0000-0000486D0000}"/>
    <cellStyle name="Текст предупреждения 93" xfId="26575" xr:uid="{00000000-0005-0000-0000-0000496D0000}"/>
    <cellStyle name="Текст предупреждения 94" xfId="26576" xr:uid="{00000000-0005-0000-0000-00004A6D0000}"/>
    <cellStyle name="Текст предупреждения 95" xfId="26577" xr:uid="{00000000-0005-0000-0000-00004B6D0000}"/>
    <cellStyle name="Текст предупреждения 96" xfId="26578" xr:uid="{00000000-0005-0000-0000-00004C6D0000}"/>
    <cellStyle name="Текст предупреждения 97" xfId="26579" xr:uid="{00000000-0005-0000-0000-00004D6D0000}"/>
    <cellStyle name="Текст предупреждения 98" xfId="26580" xr:uid="{00000000-0005-0000-0000-00004E6D0000}"/>
    <cellStyle name="Текст предупреждения 99" xfId="26581" xr:uid="{00000000-0005-0000-0000-00004F6D0000}"/>
    <cellStyle name="Тысячи [0]_5LET2" xfId="26582" xr:uid="{00000000-0005-0000-0000-0000506D0000}"/>
    <cellStyle name="Тысячи [а]" xfId="26583" xr:uid="{00000000-0005-0000-0000-0000516D0000}"/>
    <cellStyle name="Тысячи [а] 2" xfId="27880" xr:uid="{00000000-0005-0000-0000-0000526D0000}"/>
    <cellStyle name="Тысячи [а] 2 2" xfId="27964" xr:uid="{00000000-0005-0000-0000-0000536D0000}"/>
    <cellStyle name="Тысячи [а] 2 2 2" xfId="28174" xr:uid="{00000000-0005-0000-0000-0000546D0000}"/>
    <cellStyle name="Тысячи [а] 2 3" xfId="28197" xr:uid="{00000000-0005-0000-0000-0000556D0000}"/>
    <cellStyle name="Тысячи_5LET2" xfId="26584" xr:uid="{00000000-0005-0000-0000-0000566D0000}"/>
    <cellStyle name="Финансовый [0] 2" xfId="26585" xr:uid="{00000000-0005-0000-0000-0000576D0000}"/>
    <cellStyle name="Финансовый [0] 2 2" xfId="28260" xr:uid="{00000000-0005-0000-0000-0000586D0000}"/>
    <cellStyle name="Финансовый 10" xfId="26795" xr:uid="{00000000-0005-0000-0000-0000596D0000}"/>
    <cellStyle name="Финансовый 10 2" xfId="28276" xr:uid="{00000000-0005-0000-0000-00005A6D0000}"/>
    <cellStyle name="Финансовый 11" xfId="27954" xr:uid="{00000000-0005-0000-0000-00005B6D0000}"/>
    <cellStyle name="Финансовый 11 2" xfId="28288" xr:uid="{00000000-0005-0000-0000-00005C6D0000}"/>
    <cellStyle name="Финансовый 12" xfId="26586" xr:uid="{00000000-0005-0000-0000-00005D6D0000}"/>
    <cellStyle name="Финансовый 12 2" xfId="28261" xr:uid="{00000000-0005-0000-0000-00005E6D0000}"/>
    <cellStyle name="Финансовый 13" xfId="26587" xr:uid="{00000000-0005-0000-0000-00005F6D0000}"/>
    <cellStyle name="Финансовый 13 2" xfId="28262" xr:uid="{00000000-0005-0000-0000-0000606D0000}"/>
    <cellStyle name="Финансовый 14" xfId="27948" xr:uid="{00000000-0005-0000-0000-0000616D0000}"/>
    <cellStyle name="Финансовый 14 2" xfId="10" xr:uid="{00000000-0005-0000-0000-0000626D0000}"/>
    <cellStyle name="Финансовый 14 3" xfId="28285" xr:uid="{00000000-0005-0000-0000-0000636D0000}"/>
    <cellStyle name="Финансовый 15" xfId="26588" xr:uid="{00000000-0005-0000-0000-0000646D0000}"/>
    <cellStyle name="Финансовый 15 2" xfId="28263" xr:uid="{00000000-0005-0000-0000-0000656D0000}"/>
    <cellStyle name="Финансовый 16" xfId="26589" xr:uid="{00000000-0005-0000-0000-0000666D0000}"/>
    <cellStyle name="Финансовый 16 2" xfId="28264" xr:uid="{00000000-0005-0000-0000-0000676D0000}"/>
    <cellStyle name="Финансовый 17" xfId="26590" xr:uid="{00000000-0005-0000-0000-0000686D0000}"/>
    <cellStyle name="Финансовый 17 2" xfId="28265" xr:uid="{00000000-0005-0000-0000-0000696D0000}"/>
    <cellStyle name="Финансовый 18" xfId="27952" xr:uid="{00000000-0005-0000-0000-00006A6D0000}"/>
    <cellStyle name="Финансовый 18 2" xfId="28287" xr:uid="{00000000-0005-0000-0000-00006B6D0000}"/>
    <cellStyle name="Финансовый 19" xfId="27950" xr:uid="{00000000-0005-0000-0000-00006C6D0000}"/>
    <cellStyle name="Финансовый 19 2" xfId="28286" xr:uid="{00000000-0005-0000-0000-00006D6D0000}"/>
    <cellStyle name="Финансовый 2" xfId="26591" xr:uid="{00000000-0005-0000-0000-00006E6D0000}"/>
    <cellStyle name="Финансовый 2 2" xfId="26592" xr:uid="{00000000-0005-0000-0000-00006F6D0000}"/>
    <cellStyle name="Финансовый 2 2 2" xfId="27837" xr:uid="{00000000-0005-0000-0000-0000706D0000}"/>
    <cellStyle name="Финансовый 2 2 2 2" xfId="28280" xr:uid="{00000000-0005-0000-0000-0000716D0000}"/>
    <cellStyle name="Финансовый 2 3" xfId="26593" xr:uid="{00000000-0005-0000-0000-0000726D0000}"/>
    <cellStyle name="Финансовый 2 4" xfId="27835" xr:uid="{00000000-0005-0000-0000-0000736D0000}"/>
    <cellStyle name="Финансовый 2 4 2" xfId="28278" xr:uid="{00000000-0005-0000-0000-0000746D0000}"/>
    <cellStyle name="Финансовый 2 5" xfId="28266" xr:uid="{00000000-0005-0000-0000-0000756D0000}"/>
    <cellStyle name="Финансовый 2_2009(прогноз)" xfId="26594" xr:uid="{00000000-0005-0000-0000-0000766D0000}"/>
    <cellStyle name="Финансовый 20" xfId="27996" xr:uid="{00000000-0005-0000-0000-0000776D0000}"/>
    <cellStyle name="Финансовый 20 2" xfId="28292" xr:uid="{00000000-0005-0000-0000-0000786D0000}"/>
    <cellStyle name="Финансовый 21" xfId="27999" xr:uid="{00000000-0005-0000-0000-0000796D0000}"/>
    <cellStyle name="Финансовый 21 2" xfId="28293" xr:uid="{00000000-0005-0000-0000-00007A6D0000}"/>
    <cellStyle name="Финансовый 22" xfId="3" xr:uid="{00000000-0005-0000-0000-00007B6D0000}"/>
    <cellStyle name="Финансовый 3" xfId="26595" xr:uid="{00000000-0005-0000-0000-00007C6D0000}"/>
    <cellStyle name="Финансовый 3 2" xfId="26596" xr:uid="{00000000-0005-0000-0000-00007D6D0000}"/>
    <cellStyle name="Финансовый 3 2 2" xfId="27852" xr:uid="{00000000-0005-0000-0000-00007E6D0000}"/>
    <cellStyle name="Финансовый 3 2 2 2" xfId="28282" xr:uid="{00000000-0005-0000-0000-00007F6D0000}"/>
    <cellStyle name="Финансовый 3 2 3" xfId="28268" xr:uid="{00000000-0005-0000-0000-0000806D0000}"/>
    <cellStyle name="Финансовый 3 3" xfId="27856" xr:uid="{00000000-0005-0000-0000-0000816D0000}"/>
    <cellStyle name="Финансовый 3 3 2" xfId="28284" xr:uid="{00000000-0005-0000-0000-0000826D0000}"/>
    <cellStyle name="Финансовый 3 4" xfId="27836" xr:uid="{00000000-0005-0000-0000-0000836D0000}"/>
    <cellStyle name="Финансовый 3 4 2" xfId="28279" xr:uid="{00000000-0005-0000-0000-0000846D0000}"/>
    <cellStyle name="Финансовый 3 5" xfId="28267" xr:uid="{00000000-0005-0000-0000-0000856D0000}"/>
    <cellStyle name="Финансовый 4" xfId="26597" xr:uid="{00000000-0005-0000-0000-0000866D0000}"/>
    <cellStyle name="Финансовый 4 2" xfId="27850" xr:uid="{00000000-0005-0000-0000-0000876D0000}"/>
    <cellStyle name="Финансовый 4 2 2" xfId="28281" xr:uid="{00000000-0005-0000-0000-0000886D0000}"/>
    <cellStyle name="Финансовый 4 3" xfId="28269" xr:uid="{00000000-0005-0000-0000-0000896D0000}"/>
    <cellStyle name="Финансовый 5" xfId="26598" xr:uid="{00000000-0005-0000-0000-00008A6D0000}"/>
    <cellStyle name="Финансовый 5 2" xfId="27854" xr:uid="{00000000-0005-0000-0000-00008B6D0000}"/>
    <cellStyle name="Финансовый 5 2 2" xfId="28283" xr:uid="{00000000-0005-0000-0000-00008C6D0000}"/>
    <cellStyle name="Финансовый 5 3" xfId="28270" xr:uid="{00000000-0005-0000-0000-00008D6D0000}"/>
    <cellStyle name="Финансовый 6" xfId="26599" xr:uid="{00000000-0005-0000-0000-00008E6D0000}"/>
    <cellStyle name="Финансовый 6 2" xfId="26600" xr:uid="{00000000-0005-0000-0000-00008F6D0000}"/>
    <cellStyle name="Финансовый 6 2 2" xfId="28272" xr:uid="{00000000-0005-0000-0000-0000906D0000}"/>
    <cellStyle name="Финансовый 6 3" xfId="28271" xr:uid="{00000000-0005-0000-0000-0000916D0000}"/>
    <cellStyle name="Финансовый 7" xfId="26601" xr:uid="{00000000-0005-0000-0000-0000926D0000}"/>
    <cellStyle name="Финансовый 7 2" xfId="28273" xr:uid="{00000000-0005-0000-0000-0000936D0000}"/>
    <cellStyle name="Финансовый 8" xfId="26602" xr:uid="{00000000-0005-0000-0000-0000946D0000}"/>
    <cellStyle name="Финансовый 8 2" xfId="28274" xr:uid="{00000000-0005-0000-0000-0000956D0000}"/>
    <cellStyle name="Финансовый 9" xfId="27796" xr:uid="{00000000-0005-0000-0000-0000966D0000}"/>
    <cellStyle name="Финансовый 9 2" xfId="28277" xr:uid="{00000000-0005-0000-0000-0000976D0000}"/>
    <cellStyle name="Хороший 10" xfId="26604" xr:uid="{00000000-0005-0000-0000-0000986D0000}"/>
    <cellStyle name="Хороший 10 2" xfId="26605" xr:uid="{00000000-0005-0000-0000-0000996D0000}"/>
    <cellStyle name="Хороший 100" xfId="26606" xr:uid="{00000000-0005-0000-0000-00009A6D0000}"/>
    <cellStyle name="Хороший 101" xfId="26607" xr:uid="{00000000-0005-0000-0000-00009B6D0000}"/>
    <cellStyle name="Хороший 102" xfId="26608" xr:uid="{00000000-0005-0000-0000-00009C6D0000}"/>
    <cellStyle name="Хороший 103" xfId="26609" xr:uid="{00000000-0005-0000-0000-00009D6D0000}"/>
    <cellStyle name="Хороший 104" xfId="26610" xr:uid="{00000000-0005-0000-0000-00009E6D0000}"/>
    <cellStyle name="Хороший 105" xfId="26611" xr:uid="{00000000-0005-0000-0000-00009F6D0000}"/>
    <cellStyle name="Хороший 106" xfId="26612" xr:uid="{00000000-0005-0000-0000-0000A06D0000}"/>
    <cellStyle name="Хороший 107" xfId="26613" xr:uid="{00000000-0005-0000-0000-0000A16D0000}"/>
    <cellStyle name="Хороший 108" xfId="26614" xr:uid="{00000000-0005-0000-0000-0000A26D0000}"/>
    <cellStyle name="Хороший 109" xfId="26615" xr:uid="{00000000-0005-0000-0000-0000A36D0000}"/>
    <cellStyle name="Хороший 11" xfId="26616" xr:uid="{00000000-0005-0000-0000-0000A46D0000}"/>
    <cellStyle name="Хороший 11 2" xfId="26617" xr:uid="{00000000-0005-0000-0000-0000A56D0000}"/>
    <cellStyle name="Хороший 11 3" xfId="26830" xr:uid="{00000000-0005-0000-0000-0000A66D0000}"/>
    <cellStyle name="Хороший 110" xfId="26618" xr:uid="{00000000-0005-0000-0000-0000A76D0000}"/>
    <cellStyle name="Хороший 111" xfId="26619" xr:uid="{00000000-0005-0000-0000-0000A86D0000}"/>
    <cellStyle name="Хороший 112" xfId="26620" xr:uid="{00000000-0005-0000-0000-0000A96D0000}"/>
    <cellStyle name="Хороший 113" xfId="26621" xr:uid="{00000000-0005-0000-0000-0000AA6D0000}"/>
    <cellStyle name="Хороший 114" xfId="26622" xr:uid="{00000000-0005-0000-0000-0000AB6D0000}"/>
    <cellStyle name="Хороший 115" xfId="26623" xr:uid="{00000000-0005-0000-0000-0000AC6D0000}"/>
    <cellStyle name="Хороший 116" xfId="26624" xr:uid="{00000000-0005-0000-0000-0000AD6D0000}"/>
    <cellStyle name="Хороший 117" xfId="26625" xr:uid="{00000000-0005-0000-0000-0000AE6D0000}"/>
    <cellStyle name="Хороший 118" xfId="26626" xr:uid="{00000000-0005-0000-0000-0000AF6D0000}"/>
    <cellStyle name="Хороший 119" xfId="26627" xr:uid="{00000000-0005-0000-0000-0000B06D0000}"/>
    <cellStyle name="Хороший 12" xfId="26628" xr:uid="{00000000-0005-0000-0000-0000B16D0000}"/>
    <cellStyle name="Хороший 12 2" xfId="26866" xr:uid="{00000000-0005-0000-0000-0000B26D0000}"/>
    <cellStyle name="Хороший 120" xfId="26629" xr:uid="{00000000-0005-0000-0000-0000B36D0000}"/>
    <cellStyle name="Хороший 121" xfId="26630" xr:uid="{00000000-0005-0000-0000-0000B46D0000}"/>
    <cellStyle name="Хороший 122" xfId="26631" xr:uid="{00000000-0005-0000-0000-0000B56D0000}"/>
    <cellStyle name="Хороший 123" xfId="26632" xr:uid="{00000000-0005-0000-0000-0000B66D0000}"/>
    <cellStyle name="Хороший 124" xfId="26633" xr:uid="{00000000-0005-0000-0000-0000B76D0000}"/>
    <cellStyle name="Хороший 125" xfId="26634" xr:uid="{00000000-0005-0000-0000-0000B86D0000}"/>
    <cellStyle name="Хороший 126" xfId="26635" xr:uid="{00000000-0005-0000-0000-0000B96D0000}"/>
    <cellStyle name="Хороший 127" xfId="26636" xr:uid="{00000000-0005-0000-0000-0000BA6D0000}"/>
    <cellStyle name="Хороший 128" xfId="26637" xr:uid="{00000000-0005-0000-0000-0000BB6D0000}"/>
    <cellStyle name="Хороший 129" xfId="26638" xr:uid="{00000000-0005-0000-0000-0000BC6D0000}"/>
    <cellStyle name="Хороший 13" xfId="26639" xr:uid="{00000000-0005-0000-0000-0000BD6D0000}"/>
    <cellStyle name="Хороший 13 2" xfId="26879" xr:uid="{00000000-0005-0000-0000-0000BE6D0000}"/>
    <cellStyle name="Хороший 130" xfId="26640" xr:uid="{00000000-0005-0000-0000-0000BF6D0000}"/>
    <cellStyle name="Хороший 131" xfId="26641" xr:uid="{00000000-0005-0000-0000-0000C06D0000}"/>
    <cellStyle name="Хороший 132" xfId="26642" xr:uid="{00000000-0005-0000-0000-0000C16D0000}"/>
    <cellStyle name="Хороший 133" xfId="26643" xr:uid="{00000000-0005-0000-0000-0000C26D0000}"/>
    <cellStyle name="Хороший 134" xfId="26644" xr:uid="{00000000-0005-0000-0000-0000C36D0000}"/>
    <cellStyle name="Хороший 135" xfId="26645" xr:uid="{00000000-0005-0000-0000-0000C46D0000}"/>
    <cellStyle name="Хороший 136" xfId="26646" xr:uid="{00000000-0005-0000-0000-0000C56D0000}"/>
    <cellStyle name="Хороший 137" xfId="26647" xr:uid="{00000000-0005-0000-0000-0000C66D0000}"/>
    <cellStyle name="Хороший 138" xfId="26648" xr:uid="{00000000-0005-0000-0000-0000C76D0000}"/>
    <cellStyle name="Хороший 139" xfId="26649" xr:uid="{00000000-0005-0000-0000-0000C86D0000}"/>
    <cellStyle name="Хороший 14" xfId="26650" xr:uid="{00000000-0005-0000-0000-0000C96D0000}"/>
    <cellStyle name="Хороший 14 2" xfId="26855" xr:uid="{00000000-0005-0000-0000-0000CA6D0000}"/>
    <cellStyle name="Хороший 140" xfId="26651" xr:uid="{00000000-0005-0000-0000-0000CB6D0000}"/>
    <cellStyle name="Хороший 141" xfId="26652" xr:uid="{00000000-0005-0000-0000-0000CC6D0000}"/>
    <cellStyle name="Хороший 142" xfId="26653" xr:uid="{00000000-0005-0000-0000-0000CD6D0000}"/>
    <cellStyle name="Хороший 143" xfId="26654" xr:uid="{00000000-0005-0000-0000-0000CE6D0000}"/>
    <cellStyle name="Хороший 144" xfId="26655" xr:uid="{00000000-0005-0000-0000-0000CF6D0000}"/>
    <cellStyle name="Хороший 145" xfId="26656" xr:uid="{00000000-0005-0000-0000-0000D06D0000}"/>
    <cellStyle name="Хороший 146" xfId="26657" xr:uid="{00000000-0005-0000-0000-0000D16D0000}"/>
    <cellStyle name="Хороший 147" xfId="26658" xr:uid="{00000000-0005-0000-0000-0000D26D0000}"/>
    <cellStyle name="Хороший 148" xfId="26659" xr:uid="{00000000-0005-0000-0000-0000D36D0000}"/>
    <cellStyle name="Хороший 149" xfId="26660" xr:uid="{00000000-0005-0000-0000-0000D46D0000}"/>
    <cellStyle name="Хороший 15" xfId="26661" xr:uid="{00000000-0005-0000-0000-0000D56D0000}"/>
    <cellStyle name="Хороший 15 2" xfId="26914" xr:uid="{00000000-0005-0000-0000-0000D66D0000}"/>
    <cellStyle name="Хороший 150" xfId="26662" xr:uid="{00000000-0005-0000-0000-0000D76D0000}"/>
    <cellStyle name="Хороший 151" xfId="26663" xr:uid="{00000000-0005-0000-0000-0000D86D0000}"/>
    <cellStyle name="Хороший 152" xfId="26664" xr:uid="{00000000-0005-0000-0000-0000D96D0000}"/>
    <cellStyle name="Хороший 153" xfId="26665" xr:uid="{00000000-0005-0000-0000-0000DA6D0000}"/>
    <cellStyle name="Хороший 154" xfId="26666" xr:uid="{00000000-0005-0000-0000-0000DB6D0000}"/>
    <cellStyle name="Хороший 155" xfId="26667" xr:uid="{00000000-0005-0000-0000-0000DC6D0000}"/>
    <cellStyle name="Хороший 156" xfId="26668" xr:uid="{00000000-0005-0000-0000-0000DD6D0000}"/>
    <cellStyle name="Хороший 157" xfId="26669" xr:uid="{00000000-0005-0000-0000-0000DE6D0000}"/>
    <cellStyle name="Хороший 158" xfId="26670" xr:uid="{00000000-0005-0000-0000-0000DF6D0000}"/>
    <cellStyle name="Хороший 159" xfId="26671" xr:uid="{00000000-0005-0000-0000-0000E06D0000}"/>
    <cellStyle name="Хороший 16" xfId="26672" xr:uid="{00000000-0005-0000-0000-0000E16D0000}"/>
    <cellStyle name="Хороший 16 2" xfId="26927" xr:uid="{00000000-0005-0000-0000-0000E26D0000}"/>
    <cellStyle name="Хороший 160" xfId="26673" xr:uid="{00000000-0005-0000-0000-0000E36D0000}"/>
    <cellStyle name="Хороший 161" xfId="26674" xr:uid="{00000000-0005-0000-0000-0000E46D0000}"/>
    <cellStyle name="Хороший 162" xfId="26675" xr:uid="{00000000-0005-0000-0000-0000E56D0000}"/>
    <cellStyle name="Хороший 163" xfId="26676" xr:uid="{00000000-0005-0000-0000-0000E66D0000}"/>
    <cellStyle name="Хороший 164" xfId="26677" xr:uid="{00000000-0005-0000-0000-0000E76D0000}"/>
    <cellStyle name="Хороший 165" xfId="26678" xr:uid="{00000000-0005-0000-0000-0000E86D0000}"/>
    <cellStyle name="Хороший 166" xfId="26679" xr:uid="{00000000-0005-0000-0000-0000E96D0000}"/>
    <cellStyle name="Хороший 167" xfId="26680" xr:uid="{00000000-0005-0000-0000-0000EA6D0000}"/>
    <cellStyle name="Хороший 168" xfId="26681" xr:uid="{00000000-0005-0000-0000-0000EB6D0000}"/>
    <cellStyle name="Хороший 169" xfId="26682" xr:uid="{00000000-0005-0000-0000-0000EC6D0000}"/>
    <cellStyle name="Хороший 17" xfId="26683" xr:uid="{00000000-0005-0000-0000-0000ED6D0000}"/>
    <cellStyle name="Хороший 17 2" xfId="26903" xr:uid="{00000000-0005-0000-0000-0000EE6D0000}"/>
    <cellStyle name="Хороший 170" xfId="26684" xr:uid="{00000000-0005-0000-0000-0000EF6D0000}"/>
    <cellStyle name="Хороший 171" xfId="26685" xr:uid="{00000000-0005-0000-0000-0000F06D0000}"/>
    <cellStyle name="Хороший 172" xfId="26686" xr:uid="{00000000-0005-0000-0000-0000F16D0000}"/>
    <cellStyle name="Хороший 173" xfId="26603" xr:uid="{00000000-0005-0000-0000-0000F26D0000}"/>
    <cellStyle name="Хороший 18" xfId="26687" xr:uid="{00000000-0005-0000-0000-0000F36D0000}"/>
    <cellStyle name="Хороший 18 2" xfId="26967" xr:uid="{00000000-0005-0000-0000-0000F46D0000}"/>
    <cellStyle name="Хороший 19" xfId="26688" xr:uid="{00000000-0005-0000-0000-0000F56D0000}"/>
    <cellStyle name="Хороший 19 2" xfId="26980" xr:uid="{00000000-0005-0000-0000-0000F66D0000}"/>
    <cellStyle name="Хороший 2" xfId="26689" xr:uid="{00000000-0005-0000-0000-0000F76D0000}"/>
    <cellStyle name="Хороший 2 2" xfId="26690" xr:uid="{00000000-0005-0000-0000-0000F86D0000}"/>
    <cellStyle name="Хороший 2 2 2" xfId="26691" xr:uid="{00000000-0005-0000-0000-0000F96D0000}"/>
    <cellStyle name="Хороший 2 3" xfId="26692" xr:uid="{00000000-0005-0000-0000-0000FA6D0000}"/>
    <cellStyle name="Хороший 2 4" xfId="28131" xr:uid="{00000000-0005-0000-0000-0000FB6D0000}"/>
    <cellStyle name="Хороший 20" xfId="26693" xr:uid="{00000000-0005-0000-0000-0000FC6D0000}"/>
    <cellStyle name="Хороший 20 2" xfId="26955" xr:uid="{00000000-0005-0000-0000-0000FD6D0000}"/>
    <cellStyle name="Хороший 21" xfId="26694" xr:uid="{00000000-0005-0000-0000-0000FE6D0000}"/>
    <cellStyle name="Хороший 21 2" xfId="26991" xr:uid="{00000000-0005-0000-0000-0000FF6D0000}"/>
    <cellStyle name="Хороший 22" xfId="26695" xr:uid="{00000000-0005-0000-0000-0000006E0000}"/>
    <cellStyle name="Хороший 22 2" xfId="27007" xr:uid="{00000000-0005-0000-0000-0000016E0000}"/>
    <cellStyle name="Хороший 23" xfId="26696" xr:uid="{00000000-0005-0000-0000-0000026E0000}"/>
    <cellStyle name="Хороший 23 2" xfId="27019" xr:uid="{00000000-0005-0000-0000-0000036E0000}"/>
    <cellStyle name="Хороший 24" xfId="26697" xr:uid="{00000000-0005-0000-0000-0000046E0000}"/>
    <cellStyle name="Хороший 24 2" xfId="27059" xr:uid="{00000000-0005-0000-0000-0000056E0000}"/>
    <cellStyle name="Хороший 25" xfId="26698" xr:uid="{00000000-0005-0000-0000-0000066E0000}"/>
    <cellStyle name="Хороший 25 2" xfId="27072" xr:uid="{00000000-0005-0000-0000-0000076E0000}"/>
    <cellStyle name="Хороший 26" xfId="26699" xr:uid="{00000000-0005-0000-0000-0000086E0000}"/>
    <cellStyle name="Хороший 26 2" xfId="27048" xr:uid="{00000000-0005-0000-0000-0000096E0000}"/>
    <cellStyle name="Хороший 27" xfId="26700" xr:uid="{00000000-0005-0000-0000-00000A6E0000}"/>
    <cellStyle name="Хороший 27 2" xfId="27083" xr:uid="{00000000-0005-0000-0000-00000B6E0000}"/>
    <cellStyle name="Хороший 28" xfId="26701" xr:uid="{00000000-0005-0000-0000-00000C6E0000}"/>
    <cellStyle name="Хороший 28 2" xfId="27125" xr:uid="{00000000-0005-0000-0000-00000D6E0000}"/>
    <cellStyle name="Хороший 29" xfId="26702" xr:uid="{00000000-0005-0000-0000-00000E6E0000}"/>
    <cellStyle name="Хороший 29 2" xfId="27138" xr:uid="{00000000-0005-0000-0000-00000F6E0000}"/>
    <cellStyle name="Хороший 3" xfId="26703" xr:uid="{00000000-0005-0000-0000-0000106E0000}"/>
    <cellStyle name="Хороший 3 2" xfId="26704" xr:uid="{00000000-0005-0000-0000-0000116E0000}"/>
    <cellStyle name="Хороший 3 3" xfId="26705" xr:uid="{00000000-0005-0000-0000-0000126E0000}"/>
    <cellStyle name="Хороший 30" xfId="26706" xr:uid="{00000000-0005-0000-0000-0000136E0000}"/>
    <cellStyle name="Хороший 30 2" xfId="27113" xr:uid="{00000000-0005-0000-0000-0000146E0000}"/>
    <cellStyle name="Хороший 31" xfId="26707" xr:uid="{00000000-0005-0000-0000-0000156E0000}"/>
    <cellStyle name="Хороший 31 2" xfId="27163" xr:uid="{00000000-0005-0000-0000-0000166E0000}"/>
    <cellStyle name="Хороший 32" xfId="26708" xr:uid="{00000000-0005-0000-0000-0000176E0000}"/>
    <cellStyle name="Хороший 32 2" xfId="27180" xr:uid="{00000000-0005-0000-0000-0000186E0000}"/>
    <cellStyle name="Хороший 33" xfId="26709" xr:uid="{00000000-0005-0000-0000-0000196E0000}"/>
    <cellStyle name="Хороший 33 2" xfId="27207" xr:uid="{00000000-0005-0000-0000-00001A6E0000}"/>
    <cellStyle name="Хороший 34" xfId="26710" xr:uid="{00000000-0005-0000-0000-00001B6E0000}"/>
    <cellStyle name="Хороший 34 2" xfId="27222" xr:uid="{00000000-0005-0000-0000-00001C6E0000}"/>
    <cellStyle name="Хороший 35" xfId="26711" xr:uid="{00000000-0005-0000-0000-00001D6E0000}"/>
    <cellStyle name="Хороший 35 2" xfId="27241" xr:uid="{00000000-0005-0000-0000-00001E6E0000}"/>
    <cellStyle name="Хороший 36" xfId="26712" xr:uid="{00000000-0005-0000-0000-00001F6E0000}"/>
    <cellStyle name="Хороший 36 2" xfId="27285" xr:uid="{00000000-0005-0000-0000-0000206E0000}"/>
    <cellStyle name="Хороший 37" xfId="26713" xr:uid="{00000000-0005-0000-0000-0000216E0000}"/>
    <cellStyle name="Хороший 37 2" xfId="27305" xr:uid="{00000000-0005-0000-0000-0000226E0000}"/>
    <cellStyle name="Хороший 38" xfId="26714" xr:uid="{00000000-0005-0000-0000-0000236E0000}"/>
    <cellStyle name="Хороший 38 2" xfId="27270" xr:uid="{00000000-0005-0000-0000-0000246E0000}"/>
    <cellStyle name="Хороший 39" xfId="26715" xr:uid="{00000000-0005-0000-0000-0000256E0000}"/>
    <cellStyle name="Хороший 39 2" xfId="27318" xr:uid="{00000000-0005-0000-0000-0000266E0000}"/>
    <cellStyle name="Хороший 4" xfId="26716" xr:uid="{00000000-0005-0000-0000-0000276E0000}"/>
    <cellStyle name="Хороший 4 2" xfId="26717" xr:uid="{00000000-0005-0000-0000-0000286E0000}"/>
    <cellStyle name="Хороший 40" xfId="26718" xr:uid="{00000000-0005-0000-0000-0000296E0000}"/>
    <cellStyle name="Хороший 40 2" xfId="27377" xr:uid="{00000000-0005-0000-0000-00002A6E0000}"/>
    <cellStyle name="Хороший 41" xfId="26719" xr:uid="{00000000-0005-0000-0000-00002B6E0000}"/>
    <cellStyle name="Хороший 41 2" xfId="27369" xr:uid="{00000000-0005-0000-0000-00002C6E0000}"/>
    <cellStyle name="Хороший 42" xfId="26720" xr:uid="{00000000-0005-0000-0000-00002D6E0000}"/>
    <cellStyle name="Хороший 42 2" xfId="27353" xr:uid="{00000000-0005-0000-0000-00002E6E0000}"/>
    <cellStyle name="Хороший 43" xfId="26721" xr:uid="{00000000-0005-0000-0000-00002F6E0000}"/>
    <cellStyle name="Хороший 43 2" xfId="27397" xr:uid="{00000000-0005-0000-0000-0000306E0000}"/>
    <cellStyle name="Хороший 44" xfId="26722" xr:uid="{00000000-0005-0000-0000-0000316E0000}"/>
    <cellStyle name="Хороший 44 2" xfId="27427" xr:uid="{00000000-0005-0000-0000-0000326E0000}"/>
    <cellStyle name="Хороший 45" xfId="26723" xr:uid="{00000000-0005-0000-0000-0000336E0000}"/>
    <cellStyle name="Хороший 45 2" xfId="27480" xr:uid="{00000000-0005-0000-0000-0000346E0000}"/>
    <cellStyle name="Хороший 46" xfId="26724" xr:uid="{00000000-0005-0000-0000-0000356E0000}"/>
    <cellStyle name="Хороший 46 2" xfId="27495" xr:uid="{00000000-0005-0000-0000-0000366E0000}"/>
    <cellStyle name="Хороший 47" xfId="26725" xr:uid="{00000000-0005-0000-0000-0000376E0000}"/>
    <cellStyle name="Хороший 47 2" xfId="27465" xr:uid="{00000000-0005-0000-0000-0000386E0000}"/>
    <cellStyle name="Хороший 48" xfId="26726" xr:uid="{00000000-0005-0000-0000-0000396E0000}"/>
    <cellStyle name="Хороший 48 2" xfId="27510" xr:uid="{00000000-0005-0000-0000-00003A6E0000}"/>
    <cellStyle name="Хороший 49" xfId="26727" xr:uid="{00000000-0005-0000-0000-00003B6E0000}"/>
    <cellStyle name="Хороший 49 2" xfId="27567" xr:uid="{00000000-0005-0000-0000-00003C6E0000}"/>
    <cellStyle name="Хороший 5" xfId="26728" xr:uid="{00000000-0005-0000-0000-00003D6E0000}"/>
    <cellStyle name="Хороший 5 2" xfId="26729" xr:uid="{00000000-0005-0000-0000-00003E6E0000}"/>
    <cellStyle name="Хороший 50" xfId="26730" xr:uid="{00000000-0005-0000-0000-00003F6E0000}"/>
    <cellStyle name="Хороший 50 2" xfId="27581" xr:uid="{00000000-0005-0000-0000-0000406E0000}"/>
    <cellStyle name="Хороший 51" xfId="26731" xr:uid="{00000000-0005-0000-0000-0000416E0000}"/>
    <cellStyle name="Хороший 51 2" xfId="27551" xr:uid="{00000000-0005-0000-0000-0000426E0000}"/>
    <cellStyle name="Хороший 52" xfId="26732" xr:uid="{00000000-0005-0000-0000-0000436E0000}"/>
    <cellStyle name="Хороший 52 2" xfId="27596" xr:uid="{00000000-0005-0000-0000-0000446E0000}"/>
    <cellStyle name="Хороший 53" xfId="26733" xr:uid="{00000000-0005-0000-0000-0000456E0000}"/>
    <cellStyle name="Хороший 53 2" xfId="27608" xr:uid="{00000000-0005-0000-0000-0000466E0000}"/>
    <cellStyle name="Хороший 54" xfId="26734" xr:uid="{00000000-0005-0000-0000-0000476E0000}"/>
    <cellStyle name="Хороший 54 2" xfId="27679" xr:uid="{00000000-0005-0000-0000-0000486E0000}"/>
    <cellStyle name="Хороший 55" xfId="26735" xr:uid="{00000000-0005-0000-0000-0000496E0000}"/>
    <cellStyle name="Хороший 55 2" xfId="27698" xr:uid="{00000000-0005-0000-0000-00004A6E0000}"/>
    <cellStyle name="Хороший 56" xfId="26736" xr:uid="{00000000-0005-0000-0000-00004B6E0000}"/>
    <cellStyle name="Хороший 56 2" xfId="27664" xr:uid="{00000000-0005-0000-0000-00004C6E0000}"/>
    <cellStyle name="Хороший 57" xfId="26737" xr:uid="{00000000-0005-0000-0000-00004D6E0000}"/>
    <cellStyle name="Хороший 57 2" xfId="27713" xr:uid="{00000000-0005-0000-0000-00004E6E0000}"/>
    <cellStyle name="Хороший 58" xfId="26738" xr:uid="{00000000-0005-0000-0000-00004F6E0000}"/>
    <cellStyle name="Хороший 58 2" xfId="27727" xr:uid="{00000000-0005-0000-0000-0000506E0000}"/>
    <cellStyle name="Хороший 59" xfId="26739" xr:uid="{00000000-0005-0000-0000-0000516E0000}"/>
    <cellStyle name="Хороший 59 2" xfId="27763" xr:uid="{00000000-0005-0000-0000-0000526E0000}"/>
    <cellStyle name="Хороший 6" xfId="26740" xr:uid="{00000000-0005-0000-0000-0000536E0000}"/>
    <cellStyle name="Хороший 6 2" xfId="26741" xr:uid="{00000000-0005-0000-0000-0000546E0000}"/>
    <cellStyle name="Хороший 60" xfId="26742" xr:uid="{00000000-0005-0000-0000-0000556E0000}"/>
    <cellStyle name="Хороший 61" xfId="26743" xr:uid="{00000000-0005-0000-0000-0000566E0000}"/>
    <cellStyle name="Хороший 62" xfId="26744" xr:uid="{00000000-0005-0000-0000-0000576E0000}"/>
    <cellStyle name="Хороший 63" xfId="26745" xr:uid="{00000000-0005-0000-0000-0000586E0000}"/>
    <cellStyle name="Хороший 64" xfId="26746" xr:uid="{00000000-0005-0000-0000-0000596E0000}"/>
    <cellStyle name="Хороший 65" xfId="26747" xr:uid="{00000000-0005-0000-0000-00005A6E0000}"/>
    <cellStyle name="Хороший 66" xfId="26748" xr:uid="{00000000-0005-0000-0000-00005B6E0000}"/>
    <cellStyle name="Хороший 67" xfId="26749" xr:uid="{00000000-0005-0000-0000-00005C6E0000}"/>
    <cellStyle name="Хороший 68" xfId="26750" xr:uid="{00000000-0005-0000-0000-00005D6E0000}"/>
    <cellStyle name="Хороший 69" xfId="26751" xr:uid="{00000000-0005-0000-0000-00005E6E0000}"/>
    <cellStyle name="Хороший 7" xfId="26752" xr:uid="{00000000-0005-0000-0000-00005F6E0000}"/>
    <cellStyle name="Хороший 7 2" xfId="26753" xr:uid="{00000000-0005-0000-0000-0000606E0000}"/>
    <cellStyle name="Хороший 70" xfId="26754" xr:uid="{00000000-0005-0000-0000-0000616E0000}"/>
    <cellStyle name="Хороший 71" xfId="26755" xr:uid="{00000000-0005-0000-0000-0000626E0000}"/>
    <cellStyle name="Хороший 72" xfId="26756" xr:uid="{00000000-0005-0000-0000-0000636E0000}"/>
    <cellStyle name="Хороший 73" xfId="26757" xr:uid="{00000000-0005-0000-0000-0000646E0000}"/>
    <cellStyle name="Хороший 74" xfId="26758" xr:uid="{00000000-0005-0000-0000-0000656E0000}"/>
    <cellStyle name="Хороший 75" xfId="26759" xr:uid="{00000000-0005-0000-0000-0000666E0000}"/>
    <cellStyle name="Хороший 76" xfId="26760" xr:uid="{00000000-0005-0000-0000-0000676E0000}"/>
    <cellStyle name="Хороший 77" xfId="26761" xr:uid="{00000000-0005-0000-0000-0000686E0000}"/>
    <cellStyle name="Хороший 78" xfId="26762" xr:uid="{00000000-0005-0000-0000-0000696E0000}"/>
    <cellStyle name="Хороший 79" xfId="26763" xr:uid="{00000000-0005-0000-0000-00006A6E0000}"/>
    <cellStyle name="Хороший 8" xfId="26764" xr:uid="{00000000-0005-0000-0000-00006B6E0000}"/>
    <cellStyle name="Хороший 8 2" xfId="26765" xr:uid="{00000000-0005-0000-0000-00006C6E0000}"/>
    <cellStyle name="Хороший 80" xfId="26766" xr:uid="{00000000-0005-0000-0000-00006D6E0000}"/>
    <cellStyle name="Хороший 81" xfId="26767" xr:uid="{00000000-0005-0000-0000-00006E6E0000}"/>
    <cellStyle name="Хороший 82" xfId="26768" xr:uid="{00000000-0005-0000-0000-00006F6E0000}"/>
    <cellStyle name="Хороший 83" xfId="26769" xr:uid="{00000000-0005-0000-0000-0000706E0000}"/>
    <cellStyle name="Хороший 84" xfId="26770" xr:uid="{00000000-0005-0000-0000-0000716E0000}"/>
    <cellStyle name="Хороший 85" xfId="26771" xr:uid="{00000000-0005-0000-0000-0000726E0000}"/>
    <cellStyle name="Хороший 86" xfId="26772" xr:uid="{00000000-0005-0000-0000-0000736E0000}"/>
    <cellStyle name="Хороший 87" xfId="26773" xr:uid="{00000000-0005-0000-0000-0000746E0000}"/>
    <cellStyle name="Хороший 88" xfId="26774" xr:uid="{00000000-0005-0000-0000-0000756E0000}"/>
    <cellStyle name="Хороший 89" xfId="26775" xr:uid="{00000000-0005-0000-0000-0000766E0000}"/>
    <cellStyle name="Хороший 9" xfId="26776" xr:uid="{00000000-0005-0000-0000-0000776E0000}"/>
    <cellStyle name="Хороший 9 2" xfId="26777" xr:uid="{00000000-0005-0000-0000-0000786E0000}"/>
    <cellStyle name="Хороший 90" xfId="26778" xr:uid="{00000000-0005-0000-0000-0000796E0000}"/>
    <cellStyle name="Хороший 91" xfId="26779" xr:uid="{00000000-0005-0000-0000-00007A6E0000}"/>
    <cellStyle name="Хороший 92" xfId="26780" xr:uid="{00000000-0005-0000-0000-00007B6E0000}"/>
    <cellStyle name="Хороший 93" xfId="26781" xr:uid="{00000000-0005-0000-0000-00007C6E0000}"/>
    <cellStyle name="Хороший 94" xfId="26782" xr:uid="{00000000-0005-0000-0000-00007D6E0000}"/>
    <cellStyle name="Хороший 95" xfId="26783" xr:uid="{00000000-0005-0000-0000-00007E6E0000}"/>
    <cellStyle name="Хороший 96" xfId="26784" xr:uid="{00000000-0005-0000-0000-00007F6E0000}"/>
    <cellStyle name="Хороший 97" xfId="26785" xr:uid="{00000000-0005-0000-0000-0000806E0000}"/>
    <cellStyle name="Хороший 98" xfId="26786" xr:uid="{00000000-0005-0000-0000-0000816E0000}"/>
    <cellStyle name="Хороший 99" xfId="26787" xr:uid="{00000000-0005-0000-0000-0000826E0000}"/>
    <cellStyle name="-хэхцэ_щ" xfId="26788" xr:uid="{00000000-0005-0000-0000-0000836E0000}"/>
    <cellStyle name="Џђћ–…ќ’ќ›‰" xfId="26789" xr:uid="{00000000-0005-0000-0000-0000846E0000}"/>
    <cellStyle name="桁区切り [0.00]_0002" xfId="26790" xr:uid="{00000000-0005-0000-0000-0000856E0000}"/>
    <cellStyle name="桁区切り_0002" xfId="26791" xr:uid="{00000000-0005-0000-0000-0000866E0000}"/>
    <cellStyle name="標準_0002" xfId="26792" xr:uid="{00000000-0005-0000-0000-0000876E0000}"/>
    <cellStyle name="通貨 [0.00]_0002" xfId="26793" xr:uid="{00000000-0005-0000-0000-0000886E0000}"/>
    <cellStyle name="通貨_0002" xfId="26794" xr:uid="{00000000-0005-0000-0000-0000896E0000}"/>
  </cellStyles>
  <dxfs count="2">
    <dxf>
      <fill>
        <patternFill>
          <bgColor rgb="FFFF0000"/>
        </patternFill>
      </fill>
    </dxf>
    <dxf>
      <fill>
        <patternFill>
          <bgColor rgb="FFFF0000"/>
        </patternFill>
      </fill>
    </dxf>
  </dxfs>
  <tableStyles count="0" defaultTableStyle="TableStyleMedium2" defaultPivotStyle="PivotStyleLight16"/>
  <colors>
    <mruColors>
      <color rgb="FF807F83"/>
      <color rgb="FFEF3E42"/>
      <color rgb="FFCFCFCF"/>
      <color rgb="FFE0E0E0"/>
      <color rgb="FF59BEBE"/>
      <color rgb="FFFAC075"/>
      <color rgb="FF92C56E"/>
      <color rgb="FFC380B5"/>
      <color rgb="FF69ACD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Assets Description'!A1"/><Relationship Id="rId13" Type="http://schemas.openxmlformats.org/officeDocument/2006/relationships/hyperlink" Target="#'Debt and Borrowings'!A1"/><Relationship Id="rId3" Type="http://schemas.openxmlformats.org/officeDocument/2006/relationships/hyperlink" Target="#'Operational data'!A1"/><Relationship Id="rId7" Type="http://schemas.openxmlformats.org/officeDocument/2006/relationships/hyperlink" Target="#'Non-IFRS financial measures'!A1"/><Relationship Id="rId12" Type="http://schemas.openxmlformats.org/officeDocument/2006/relationships/hyperlink" Target="#Dividends!A1"/><Relationship Id="rId2" Type="http://schemas.openxmlformats.org/officeDocument/2006/relationships/hyperlink" Target="#'P&amp;L'!A1"/><Relationship Id="rId1" Type="http://schemas.openxmlformats.org/officeDocument/2006/relationships/hyperlink" Target="#'Container Market Statictics'!A1"/><Relationship Id="rId6" Type="http://schemas.openxmlformats.org/officeDocument/2006/relationships/hyperlink" Target="#'Balance sheet'!A1"/><Relationship Id="rId11" Type="http://schemas.openxmlformats.org/officeDocument/2006/relationships/image" Target="../media/image1.jpg"/><Relationship Id="rId5" Type="http://schemas.openxmlformats.org/officeDocument/2006/relationships/hyperlink" Target="#'Cash flow'!A1"/><Relationship Id="rId10" Type="http://schemas.openxmlformats.org/officeDocument/2006/relationships/hyperlink" Target="#Ratings!A1"/><Relationship Id="rId4" Type="http://schemas.openxmlformats.org/officeDocument/2006/relationships/hyperlink" Target="#ESG!A1"/><Relationship Id="rId9" Type="http://schemas.openxmlformats.org/officeDocument/2006/relationships/hyperlink" Target="#Securities!A1"/><Relationship Id="rId14" Type="http://schemas.openxmlformats.org/officeDocument/2006/relationships/hyperlink" Target="#'Segment data'!A1"/></Relationships>
</file>

<file path=xl/drawings/_rels/drawing2.xml.rels><?xml version="1.0" encoding="UTF-8" standalone="yes"?>
<Relationships xmlns="http://schemas.openxmlformats.org/package/2006/relationships"><Relationship Id="rId1" Type="http://schemas.openxmlformats.org/officeDocument/2006/relationships/hyperlink" Target="#Summary!A1"/></Relationships>
</file>

<file path=xl/drawings/_rels/drawing3.xml.rels><?xml version="1.0" encoding="UTF-8" standalone="yes"?>
<Relationships xmlns="http://schemas.openxmlformats.org/package/2006/relationships"><Relationship Id="rId1" Type="http://schemas.openxmlformats.org/officeDocument/2006/relationships/hyperlink" Target="#Summary!A1"/></Relationships>
</file>

<file path=xl/drawings/_rels/drawing4.xml.rels><?xml version="1.0" encoding="UTF-8" standalone="yes"?>
<Relationships xmlns="http://schemas.openxmlformats.org/package/2006/relationships"><Relationship Id="rId1" Type="http://schemas.openxmlformats.org/officeDocument/2006/relationships/hyperlink" Target="#Summary!A1"/></Relationships>
</file>

<file path=xl/drawings/_rels/drawing5.xml.rels><?xml version="1.0" encoding="UTF-8" standalone="yes"?>
<Relationships xmlns="http://schemas.openxmlformats.org/package/2006/relationships"><Relationship Id="rId1" Type="http://schemas.openxmlformats.org/officeDocument/2006/relationships/hyperlink" Target="#Summary!A1"/></Relationships>
</file>

<file path=xl/drawings/_rels/drawing6.xml.rels><?xml version="1.0" encoding="UTF-8" standalone="yes"?>
<Relationships xmlns="http://schemas.openxmlformats.org/package/2006/relationships"><Relationship Id="rId1" Type="http://schemas.openxmlformats.org/officeDocument/2006/relationships/hyperlink" Target="#Summary!A1"/></Relationships>
</file>

<file path=xl/drawings/_rels/drawing7.xml.rels><?xml version="1.0" encoding="UTF-8" standalone="yes"?>
<Relationships xmlns="http://schemas.openxmlformats.org/package/2006/relationships"><Relationship Id="rId1" Type="http://schemas.openxmlformats.org/officeDocument/2006/relationships/hyperlink" Target="#Summary!A1"/></Relationships>
</file>

<file path=xl/drawings/_rels/drawing8.xml.rels><?xml version="1.0" encoding="UTF-8" standalone="yes"?>
<Relationships xmlns="http://schemas.openxmlformats.org/package/2006/relationships"><Relationship Id="rId1" Type="http://schemas.openxmlformats.org/officeDocument/2006/relationships/hyperlink" Target="#Summary!A1"/></Relationships>
</file>

<file path=xl/drawings/_rels/drawing9.xml.rels><?xml version="1.0" encoding="UTF-8" standalone="yes"?>
<Relationships xmlns="http://schemas.openxmlformats.org/package/2006/relationships"><Relationship Id="rId1" Type="http://schemas.openxmlformats.org/officeDocument/2006/relationships/hyperlink" Target="#Summary!A1"/></Relationships>
</file>

<file path=xl/drawings/_rels/drawing10.xml.rels><?xml version="1.0" encoding="UTF-8" standalone="yes"?>
<Relationships xmlns="http://schemas.openxmlformats.org/package/2006/relationships"><Relationship Id="rId1" Type="http://schemas.openxmlformats.org/officeDocument/2006/relationships/hyperlink" Target="#Summary!A1"/></Relationships>
</file>

<file path=xl/drawings/_rels/drawing11.xml.rels><?xml version="1.0" encoding="UTF-8" standalone="yes"?>
<Relationships xmlns="http://schemas.openxmlformats.org/package/2006/relationships"><Relationship Id="rId1" Type="http://schemas.openxmlformats.org/officeDocument/2006/relationships/hyperlink" Target="#Summary!A1"/></Relationships>
</file>

<file path=xl/drawings/_rels/drawing12.xml.rels><?xml version="1.0" encoding="UTF-8" standalone="yes"?>
<Relationships xmlns="http://schemas.openxmlformats.org/package/2006/relationships"><Relationship Id="rId1" Type="http://schemas.openxmlformats.org/officeDocument/2006/relationships/hyperlink" Target="#Summary!A1"/></Relationships>
</file>

<file path=xl/drawings/_rels/drawing13.xml.rels><?xml version="1.0" encoding="UTF-8" standalone="yes"?>
<Relationships xmlns="http://schemas.openxmlformats.org/package/2006/relationships"><Relationship Id="rId1" Type="http://schemas.openxmlformats.org/officeDocument/2006/relationships/hyperlink" Target="#Summary!A1"/></Relationships>
</file>

<file path=xl/drawings/_rels/drawing14.xml.rels><?xml version="1.0" encoding="UTF-8" standalone="yes"?>
<Relationships xmlns="http://schemas.openxmlformats.org/package/2006/relationships"><Relationship Id="rId1" Type="http://schemas.openxmlformats.org/officeDocument/2006/relationships/hyperlink" Target="#Summary!A1"/></Relationships>
</file>

<file path=xl/drawings/drawing1.xml><?xml version="1.0" encoding="utf-8"?>
<xdr:wsDr xmlns:xdr="http://schemas.openxmlformats.org/drawingml/2006/spreadsheetDrawing" xmlns:a="http://schemas.openxmlformats.org/drawingml/2006/main">
  <xdr:twoCellAnchor>
    <xdr:from>
      <xdr:col>11</xdr:col>
      <xdr:colOff>19050</xdr:colOff>
      <xdr:row>8</xdr:row>
      <xdr:rowOff>19050</xdr:rowOff>
    </xdr:from>
    <xdr:to>
      <xdr:col>14</xdr:col>
      <xdr:colOff>19050</xdr:colOff>
      <xdr:row>10</xdr:row>
      <xdr:rowOff>161100</xdr:rowOff>
    </xdr:to>
    <xdr:sp macro="" textlink="">
      <xdr:nvSpPr>
        <xdr:cNvPr id="2" name="Прямоугольник: скругленные углы 1">
          <a:hlinkClick xmlns:r="http://schemas.openxmlformats.org/officeDocument/2006/relationships" r:id="rId1"/>
          <a:extLst>
            <a:ext uri="{FF2B5EF4-FFF2-40B4-BE49-F238E27FC236}">
              <a16:creationId xmlns:a16="http://schemas.microsoft.com/office/drawing/2014/main" id="{A5D3FE71-B3D7-4E6D-B07A-005B6EA7BE6C}"/>
            </a:ext>
          </a:extLst>
        </xdr:cNvPr>
        <xdr:cNvSpPr/>
      </xdr:nvSpPr>
      <xdr:spPr>
        <a:xfrm>
          <a:off x="3143250" y="1466850"/>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Russian Container Market Statictics</a:t>
          </a:r>
          <a:endParaRPr lang="ru-RU" sz="1100" b="1"/>
        </a:p>
      </xdr:txBody>
    </xdr:sp>
    <xdr:clientData/>
  </xdr:twoCellAnchor>
  <xdr:twoCellAnchor>
    <xdr:from>
      <xdr:col>7</xdr:col>
      <xdr:colOff>19050</xdr:colOff>
      <xdr:row>8</xdr:row>
      <xdr:rowOff>19050</xdr:rowOff>
    </xdr:from>
    <xdr:to>
      <xdr:col>10</xdr:col>
      <xdr:colOff>19050</xdr:colOff>
      <xdr:row>10</xdr:row>
      <xdr:rowOff>161100</xdr:rowOff>
    </xdr:to>
    <xdr:sp macro="" textlink="">
      <xdr:nvSpPr>
        <xdr:cNvPr id="4" name="Прямоугольник: скругленные углы 3">
          <a:hlinkClick xmlns:r="http://schemas.openxmlformats.org/officeDocument/2006/relationships" r:id="rId2"/>
          <a:extLst>
            <a:ext uri="{FF2B5EF4-FFF2-40B4-BE49-F238E27FC236}">
              <a16:creationId xmlns:a16="http://schemas.microsoft.com/office/drawing/2014/main" id="{FB0F79BA-5E7E-4F5D-8C61-A25F4563239A}"/>
            </a:ext>
          </a:extLst>
        </xdr:cNvPr>
        <xdr:cNvSpPr/>
      </xdr:nvSpPr>
      <xdr:spPr>
        <a:xfrm>
          <a:off x="704850" y="1466850"/>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P&amp;L</a:t>
          </a:r>
          <a:endParaRPr lang="ru-RU" sz="1100" b="1"/>
        </a:p>
      </xdr:txBody>
    </xdr:sp>
    <xdr:clientData/>
  </xdr:twoCellAnchor>
  <xdr:twoCellAnchor>
    <xdr:from>
      <xdr:col>11</xdr:col>
      <xdr:colOff>19050</xdr:colOff>
      <xdr:row>11</xdr:row>
      <xdr:rowOff>95250</xdr:rowOff>
    </xdr:from>
    <xdr:to>
      <xdr:col>14</xdr:col>
      <xdr:colOff>19050</xdr:colOff>
      <xdr:row>14</xdr:row>
      <xdr:rowOff>46800</xdr:rowOff>
    </xdr:to>
    <xdr:sp macro="" textlink="">
      <xdr:nvSpPr>
        <xdr:cNvPr id="5" name="Прямоугольник: скругленные углы 4">
          <a:hlinkClick xmlns:r="http://schemas.openxmlformats.org/officeDocument/2006/relationships" r:id="rId3"/>
          <a:extLst>
            <a:ext uri="{FF2B5EF4-FFF2-40B4-BE49-F238E27FC236}">
              <a16:creationId xmlns:a16="http://schemas.microsoft.com/office/drawing/2014/main" id="{AB8ADB32-F021-4269-AB09-77849ECF63EE}"/>
            </a:ext>
          </a:extLst>
        </xdr:cNvPr>
        <xdr:cNvSpPr/>
      </xdr:nvSpPr>
      <xdr:spPr>
        <a:xfrm>
          <a:off x="3143250" y="2085975"/>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Operational data</a:t>
          </a:r>
          <a:endParaRPr lang="ru-RU" sz="1100" b="1"/>
        </a:p>
      </xdr:txBody>
    </xdr:sp>
    <xdr:clientData/>
  </xdr:twoCellAnchor>
  <xdr:twoCellAnchor>
    <xdr:from>
      <xdr:col>19</xdr:col>
      <xdr:colOff>28575</xdr:colOff>
      <xdr:row>11</xdr:row>
      <xdr:rowOff>85725</xdr:rowOff>
    </xdr:from>
    <xdr:to>
      <xdr:col>31</xdr:col>
      <xdr:colOff>28575</xdr:colOff>
      <xdr:row>14</xdr:row>
      <xdr:rowOff>37275</xdr:rowOff>
    </xdr:to>
    <xdr:sp macro="" textlink="">
      <xdr:nvSpPr>
        <xdr:cNvPr id="6" name="Прямоугольник: скругленные углы 5">
          <a:hlinkClick xmlns:r="http://schemas.openxmlformats.org/officeDocument/2006/relationships" r:id="rId4"/>
          <a:extLst>
            <a:ext uri="{FF2B5EF4-FFF2-40B4-BE49-F238E27FC236}">
              <a16:creationId xmlns:a16="http://schemas.microsoft.com/office/drawing/2014/main" id="{849B40AD-D6D9-4F4A-AE95-35797E04569B}"/>
            </a:ext>
          </a:extLst>
        </xdr:cNvPr>
        <xdr:cNvSpPr/>
      </xdr:nvSpPr>
      <xdr:spPr>
        <a:xfrm>
          <a:off x="8029575" y="2076450"/>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ESG</a:t>
          </a:r>
          <a:endParaRPr lang="ru-RU" sz="1100" b="1"/>
        </a:p>
      </xdr:txBody>
    </xdr:sp>
    <xdr:clientData/>
  </xdr:twoCellAnchor>
  <xdr:twoCellAnchor>
    <xdr:from>
      <xdr:col>7</xdr:col>
      <xdr:colOff>9525</xdr:colOff>
      <xdr:row>15</xdr:row>
      <xdr:rowOff>0</xdr:rowOff>
    </xdr:from>
    <xdr:to>
      <xdr:col>10</xdr:col>
      <xdr:colOff>9525</xdr:colOff>
      <xdr:row>17</xdr:row>
      <xdr:rowOff>142050</xdr:rowOff>
    </xdr:to>
    <xdr:sp macro="" textlink="">
      <xdr:nvSpPr>
        <xdr:cNvPr id="7" name="Прямоугольник: скругленные углы 6">
          <a:hlinkClick xmlns:r="http://schemas.openxmlformats.org/officeDocument/2006/relationships" r:id="rId5"/>
          <a:extLst>
            <a:ext uri="{FF2B5EF4-FFF2-40B4-BE49-F238E27FC236}">
              <a16:creationId xmlns:a16="http://schemas.microsoft.com/office/drawing/2014/main" id="{F2084F90-F869-4F5E-B6FF-BCA78657483C}"/>
            </a:ext>
          </a:extLst>
        </xdr:cNvPr>
        <xdr:cNvSpPr/>
      </xdr:nvSpPr>
      <xdr:spPr>
        <a:xfrm>
          <a:off x="695325" y="2724150"/>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Cash flow</a:t>
          </a:r>
          <a:endParaRPr lang="ru-RU" sz="1100" b="1"/>
        </a:p>
      </xdr:txBody>
    </xdr:sp>
    <xdr:clientData/>
  </xdr:twoCellAnchor>
  <xdr:twoCellAnchor>
    <xdr:from>
      <xdr:col>7</xdr:col>
      <xdr:colOff>19050</xdr:colOff>
      <xdr:row>11</xdr:row>
      <xdr:rowOff>85725</xdr:rowOff>
    </xdr:from>
    <xdr:to>
      <xdr:col>10</xdr:col>
      <xdr:colOff>19050</xdr:colOff>
      <xdr:row>14</xdr:row>
      <xdr:rowOff>37275</xdr:rowOff>
    </xdr:to>
    <xdr:sp macro="" textlink="">
      <xdr:nvSpPr>
        <xdr:cNvPr id="8" name="Прямоугольник: скругленные углы 7">
          <a:hlinkClick xmlns:r="http://schemas.openxmlformats.org/officeDocument/2006/relationships" r:id="rId6"/>
          <a:extLst>
            <a:ext uri="{FF2B5EF4-FFF2-40B4-BE49-F238E27FC236}">
              <a16:creationId xmlns:a16="http://schemas.microsoft.com/office/drawing/2014/main" id="{269C7020-2C0D-4A85-9015-67CC79659E92}"/>
            </a:ext>
          </a:extLst>
        </xdr:cNvPr>
        <xdr:cNvSpPr/>
      </xdr:nvSpPr>
      <xdr:spPr>
        <a:xfrm>
          <a:off x="704850" y="2076450"/>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Balance sheet</a:t>
          </a:r>
          <a:endParaRPr lang="ru-RU" sz="1100" b="1"/>
        </a:p>
      </xdr:txBody>
    </xdr:sp>
    <xdr:clientData/>
  </xdr:twoCellAnchor>
  <xdr:twoCellAnchor>
    <xdr:from>
      <xdr:col>15</xdr:col>
      <xdr:colOff>19050</xdr:colOff>
      <xdr:row>8</xdr:row>
      <xdr:rowOff>19050</xdr:rowOff>
    </xdr:from>
    <xdr:to>
      <xdr:col>18</xdr:col>
      <xdr:colOff>19050</xdr:colOff>
      <xdr:row>10</xdr:row>
      <xdr:rowOff>161100</xdr:rowOff>
    </xdr:to>
    <xdr:sp macro="" textlink="">
      <xdr:nvSpPr>
        <xdr:cNvPr id="9" name="Прямоугольник: скругленные углы 8">
          <a:hlinkClick xmlns:r="http://schemas.openxmlformats.org/officeDocument/2006/relationships" r:id="rId7"/>
          <a:extLst>
            <a:ext uri="{FF2B5EF4-FFF2-40B4-BE49-F238E27FC236}">
              <a16:creationId xmlns:a16="http://schemas.microsoft.com/office/drawing/2014/main" id="{05649A48-7EC5-4C58-8052-DE5CF8F041EE}"/>
            </a:ext>
          </a:extLst>
        </xdr:cNvPr>
        <xdr:cNvSpPr/>
      </xdr:nvSpPr>
      <xdr:spPr>
        <a:xfrm>
          <a:off x="5581650" y="1466850"/>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Non-IFRS financial measures</a:t>
          </a:r>
          <a:endParaRPr lang="ru-RU" sz="1100" b="1"/>
        </a:p>
      </xdr:txBody>
    </xdr:sp>
    <xdr:clientData/>
  </xdr:twoCellAnchor>
  <xdr:twoCellAnchor>
    <xdr:from>
      <xdr:col>19</xdr:col>
      <xdr:colOff>19050</xdr:colOff>
      <xdr:row>8</xdr:row>
      <xdr:rowOff>9525</xdr:rowOff>
    </xdr:from>
    <xdr:to>
      <xdr:col>31</xdr:col>
      <xdr:colOff>19050</xdr:colOff>
      <xdr:row>10</xdr:row>
      <xdr:rowOff>151575</xdr:rowOff>
    </xdr:to>
    <xdr:sp macro="" textlink="">
      <xdr:nvSpPr>
        <xdr:cNvPr id="10" name="Прямоугольник: скругленные углы 9">
          <a:hlinkClick xmlns:r="http://schemas.openxmlformats.org/officeDocument/2006/relationships" r:id="rId8"/>
          <a:extLst>
            <a:ext uri="{FF2B5EF4-FFF2-40B4-BE49-F238E27FC236}">
              <a16:creationId xmlns:a16="http://schemas.microsoft.com/office/drawing/2014/main" id="{137AD5AC-AC88-40C1-A228-95E2EEDC47E5}"/>
            </a:ext>
          </a:extLst>
        </xdr:cNvPr>
        <xdr:cNvSpPr/>
      </xdr:nvSpPr>
      <xdr:spPr>
        <a:xfrm>
          <a:off x="8020050" y="1457325"/>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Assets Description</a:t>
          </a:r>
          <a:endParaRPr lang="ru-RU" sz="1100" b="1"/>
        </a:p>
      </xdr:txBody>
    </xdr:sp>
    <xdr:clientData/>
  </xdr:twoCellAnchor>
  <xdr:twoCellAnchor editAs="absolute">
    <xdr:from>
      <xdr:col>15</xdr:col>
      <xdr:colOff>19050</xdr:colOff>
      <xdr:row>15</xdr:row>
      <xdr:rowOff>9525</xdr:rowOff>
    </xdr:from>
    <xdr:to>
      <xdr:col>18</xdr:col>
      <xdr:colOff>19050</xdr:colOff>
      <xdr:row>17</xdr:row>
      <xdr:rowOff>151575</xdr:rowOff>
    </xdr:to>
    <xdr:sp macro="" textlink="">
      <xdr:nvSpPr>
        <xdr:cNvPr id="11" name="Прямоугольник: скругленные углы 10">
          <a:hlinkClick xmlns:r="http://schemas.openxmlformats.org/officeDocument/2006/relationships" r:id="rId9"/>
          <a:extLst>
            <a:ext uri="{FF2B5EF4-FFF2-40B4-BE49-F238E27FC236}">
              <a16:creationId xmlns:a16="http://schemas.microsoft.com/office/drawing/2014/main" id="{C9D66839-F751-4489-B213-006F9260507F}"/>
            </a:ext>
          </a:extLst>
        </xdr:cNvPr>
        <xdr:cNvSpPr/>
      </xdr:nvSpPr>
      <xdr:spPr>
        <a:xfrm>
          <a:off x="5581650" y="2733675"/>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Securities</a:t>
          </a:r>
          <a:endParaRPr lang="ru-RU" sz="1100" b="1"/>
        </a:p>
      </xdr:txBody>
    </xdr:sp>
    <xdr:clientData/>
  </xdr:twoCellAnchor>
  <xdr:twoCellAnchor>
    <xdr:from>
      <xdr:col>19</xdr:col>
      <xdr:colOff>28575</xdr:colOff>
      <xdr:row>15</xdr:row>
      <xdr:rowOff>9525</xdr:rowOff>
    </xdr:from>
    <xdr:to>
      <xdr:col>31</xdr:col>
      <xdr:colOff>28575</xdr:colOff>
      <xdr:row>17</xdr:row>
      <xdr:rowOff>151575</xdr:rowOff>
    </xdr:to>
    <xdr:sp macro="" textlink="">
      <xdr:nvSpPr>
        <xdr:cNvPr id="12" name="Прямоугольник: скругленные углы 11">
          <a:hlinkClick xmlns:r="http://schemas.openxmlformats.org/officeDocument/2006/relationships" r:id="rId10"/>
          <a:extLst>
            <a:ext uri="{FF2B5EF4-FFF2-40B4-BE49-F238E27FC236}">
              <a16:creationId xmlns:a16="http://schemas.microsoft.com/office/drawing/2014/main" id="{9BF34B27-4724-4A5F-A77B-9265BDA578DB}"/>
            </a:ext>
          </a:extLst>
        </xdr:cNvPr>
        <xdr:cNvSpPr/>
      </xdr:nvSpPr>
      <xdr:spPr>
        <a:xfrm>
          <a:off x="8029575" y="2733675"/>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Ratings</a:t>
          </a:r>
          <a:endParaRPr lang="ru-RU" sz="1100" b="1"/>
        </a:p>
      </xdr:txBody>
    </xdr:sp>
    <xdr:clientData/>
  </xdr:twoCellAnchor>
  <xdr:twoCellAnchor editAs="oneCell">
    <xdr:from>
      <xdr:col>7</xdr:col>
      <xdr:colOff>238125</xdr:colOff>
      <xdr:row>1</xdr:row>
      <xdr:rowOff>85725</xdr:rowOff>
    </xdr:from>
    <xdr:to>
      <xdr:col>13</xdr:col>
      <xdr:colOff>597789</xdr:colOff>
      <xdr:row>5</xdr:row>
      <xdr:rowOff>99441</xdr:rowOff>
    </xdr:to>
    <xdr:pic>
      <xdr:nvPicPr>
        <xdr:cNvPr id="13" name="Рисунок 12">
          <a:extLst>
            <a:ext uri="{FF2B5EF4-FFF2-40B4-BE49-F238E27FC236}">
              <a16:creationId xmlns:a16="http://schemas.microsoft.com/office/drawing/2014/main" id="{B2D8D72D-746D-42FD-B67D-F0FFBC34C5A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23925" y="276225"/>
          <a:ext cx="4017264" cy="737616"/>
        </a:xfrm>
        <a:prstGeom prst="rect">
          <a:avLst/>
        </a:prstGeom>
      </xdr:spPr>
    </xdr:pic>
    <xdr:clientData/>
  </xdr:twoCellAnchor>
  <xdr:twoCellAnchor editAs="absolute">
    <xdr:from>
      <xdr:col>15</xdr:col>
      <xdr:colOff>19050</xdr:colOff>
      <xdr:row>18</xdr:row>
      <xdr:rowOff>123825</xdr:rowOff>
    </xdr:from>
    <xdr:to>
      <xdr:col>18</xdr:col>
      <xdr:colOff>19050</xdr:colOff>
      <xdr:row>21</xdr:row>
      <xdr:rowOff>84900</xdr:rowOff>
    </xdr:to>
    <xdr:sp macro="" textlink="">
      <xdr:nvSpPr>
        <xdr:cNvPr id="14" name="Прямоугольник: скругленные углы 13">
          <a:hlinkClick xmlns:r="http://schemas.openxmlformats.org/officeDocument/2006/relationships" r:id="rId12"/>
          <a:extLst>
            <a:ext uri="{FF2B5EF4-FFF2-40B4-BE49-F238E27FC236}">
              <a16:creationId xmlns:a16="http://schemas.microsoft.com/office/drawing/2014/main" id="{DC995EEB-4391-4251-9133-CC75F26548F3}"/>
            </a:ext>
          </a:extLst>
        </xdr:cNvPr>
        <xdr:cNvSpPr/>
      </xdr:nvSpPr>
      <xdr:spPr>
        <a:xfrm>
          <a:off x="5581650" y="3390900"/>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Dividends</a:t>
          </a:r>
          <a:endParaRPr lang="ru-RU" sz="1100" b="1"/>
        </a:p>
      </xdr:txBody>
    </xdr:sp>
    <xdr:clientData/>
  </xdr:twoCellAnchor>
  <xdr:twoCellAnchor>
    <xdr:from>
      <xdr:col>15</xdr:col>
      <xdr:colOff>19050</xdr:colOff>
      <xdr:row>11</xdr:row>
      <xdr:rowOff>114300</xdr:rowOff>
    </xdr:from>
    <xdr:to>
      <xdr:col>18</xdr:col>
      <xdr:colOff>19050</xdr:colOff>
      <xdr:row>14</xdr:row>
      <xdr:rowOff>65850</xdr:rowOff>
    </xdr:to>
    <xdr:sp macro="" textlink="">
      <xdr:nvSpPr>
        <xdr:cNvPr id="15" name="Прямоугольник: скругленные углы 14">
          <a:hlinkClick xmlns:r="http://schemas.openxmlformats.org/officeDocument/2006/relationships" r:id="rId13"/>
          <a:extLst>
            <a:ext uri="{FF2B5EF4-FFF2-40B4-BE49-F238E27FC236}">
              <a16:creationId xmlns:a16="http://schemas.microsoft.com/office/drawing/2014/main" id="{07B5F6EA-01C2-43FB-A394-103D385122B1}"/>
            </a:ext>
          </a:extLst>
        </xdr:cNvPr>
        <xdr:cNvSpPr/>
      </xdr:nvSpPr>
      <xdr:spPr>
        <a:xfrm>
          <a:off x="5581650" y="2105025"/>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Debt and Borrowings</a:t>
          </a:r>
          <a:endParaRPr lang="ru-RU" sz="1100" b="1"/>
        </a:p>
      </xdr:txBody>
    </xdr:sp>
    <xdr:clientData/>
  </xdr:twoCellAnchor>
  <xdr:twoCellAnchor>
    <xdr:from>
      <xdr:col>7</xdr:col>
      <xdr:colOff>9525</xdr:colOff>
      <xdr:row>18</xdr:row>
      <xdr:rowOff>114300</xdr:rowOff>
    </xdr:from>
    <xdr:to>
      <xdr:col>10</xdr:col>
      <xdr:colOff>9525</xdr:colOff>
      <xdr:row>21</xdr:row>
      <xdr:rowOff>75375</xdr:rowOff>
    </xdr:to>
    <xdr:sp macro="" textlink="">
      <xdr:nvSpPr>
        <xdr:cNvPr id="17" name="Прямоугольник: скругленные углы 16">
          <a:hlinkClick xmlns:r="http://schemas.openxmlformats.org/officeDocument/2006/relationships" r:id="rId14"/>
          <a:extLst>
            <a:ext uri="{FF2B5EF4-FFF2-40B4-BE49-F238E27FC236}">
              <a16:creationId xmlns:a16="http://schemas.microsoft.com/office/drawing/2014/main" id="{7FA738A1-5080-45BF-8203-20CFDB10169B}"/>
            </a:ext>
          </a:extLst>
        </xdr:cNvPr>
        <xdr:cNvSpPr/>
      </xdr:nvSpPr>
      <xdr:spPr>
        <a:xfrm>
          <a:off x="695325" y="3381375"/>
          <a:ext cx="1828800" cy="50400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Segment</a:t>
          </a:r>
          <a:r>
            <a:rPr lang="en-US" sz="1100" b="1" baseline="0"/>
            <a:t> data</a:t>
          </a:r>
          <a:endParaRPr lang="ru-R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38100</xdr:rowOff>
    </xdr:from>
    <xdr:to>
      <xdr:col>2</xdr:col>
      <xdr:colOff>114300</xdr:colOff>
      <xdr:row>1</xdr:row>
      <xdr:rowOff>95250</xdr:rowOff>
    </xdr:to>
    <xdr:sp macro="" textlink="">
      <xdr:nvSpPr>
        <xdr:cNvPr id="3" name="Прямоугольник: скругленные углы 2">
          <a:hlinkClick xmlns:r="http://schemas.openxmlformats.org/officeDocument/2006/relationships" r:id="rId1"/>
          <a:extLst>
            <a:ext uri="{FF2B5EF4-FFF2-40B4-BE49-F238E27FC236}">
              <a16:creationId xmlns:a16="http://schemas.microsoft.com/office/drawing/2014/main" id="{E7788B49-B088-4B2A-9B8D-45FBE692DD33}"/>
            </a:ext>
          </a:extLst>
        </xdr:cNvPr>
        <xdr:cNvSpPr/>
      </xdr:nvSpPr>
      <xdr:spPr>
        <a:xfrm>
          <a:off x="19050" y="38100"/>
          <a:ext cx="571500" cy="20955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152400</xdr:colOff>
      <xdr:row>1</xdr:row>
      <xdr:rowOff>47625</xdr:rowOff>
    </xdr:to>
    <xdr:sp macro="" textlink="">
      <xdr:nvSpPr>
        <xdr:cNvPr id="4" name="Прямоугольник: скругленные углы 3">
          <a:hlinkClick xmlns:r="http://schemas.openxmlformats.org/officeDocument/2006/relationships" r:id="rId1"/>
          <a:extLst>
            <a:ext uri="{FF2B5EF4-FFF2-40B4-BE49-F238E27FC236}">
              <a16:creationId xmlns:a16="http://schemas.microsoft.com/office/drawing/2014/main" id="{5316CB33-03E9-4A93-BA1D-135E42B19E20}"/>
            </a:ext>
          </a:extLst>
        </xdr:cNvPr>
        <xdr:cNvSpPr/>
      </xdr:nvSpPr>
      <xdr:spPr>
        <a:xfrm>
          <a:off x="28575" y="28575"/>
          <a:ext cx="571500" cy="20955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123825</xdr:colOff>
      <xdr:row>1</xdr:row>
      <xdr:rowOff>47625</xdr:rowOff>
    </xdr:to>
    <xdr:sp macro="" textlink="">
      <xdr:nvSpPr>
        <xdr:cNvPr id="2" name="Прямоугольник: скругленные углы 1">
          <a:hlinkClick xmlns:r="http://schemas.openxmlformats.org/officeDocument/2006/relationships" r:id="rId1"/>
          <a:extLst>
            <a:ext uri="{FF2B5EF4-FFF2-40B4-BE49-F238E27FC236}">
              <a16:creationId xmlns:a16="http://schemas.microsoft.com/office/drawing/2014/main" id="{0061F8D5-1731-4FB1-B777-4DD6D2717F2E}"/>
            </a:ext>
          </a:extLst>
        </xdr:cNvPr>
        <xdr:cNvSpPr/>
      </xdr:nvSpPr>
      <xdr:spPr>
        <a:xfrm>
          <a:off x="28575" y="28575"/>
          <a:ext cx="571500" cy="20955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76200</xdr:colOff>
      <xdr:row>1</xdr:row>
      <xdr:rowOff>85725</xdr:rowOff>
    </xdr:to>
    <xdr:sp macro="" textlink="">
      <xdr:nvSpPr>
        <xdr:cNvPr id="2" name="Прямоугольник: скругленные углы 1">
          <a:hlinkClick xmlns:r="http://schemas.openxmlformats.org/officeDocument/2006/relationships" r:id="rId1"/>
          <a:extLst>
            <a:ext uri="{FF2B5EF4-FFF2-40B4-BE49-F238E27FC236}">
              <a16:creationId xmlns:a16="http://schemas.microsoft.com/office/drawing/2014/main" id="{0E6C709F-82BD-4ED7-81EB-1892A5C02FB6}"/>
            </a:ext>
          </a:extLst>
        </xdr:cNvPr>
        <xdr:cNvSpPr/>
      </xdr:nvSpPr>
      <xdr:spPr>
        <a:xfrm>
          <a:off x="28575" y="28575"/>
          <a:ext cx="571500" cy="20955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66675</xdr:colOff>
      <xdr:row>1</xdr:row>
      <xdr:rowOff>85725</xdr:rowOff>
    </xdr:to>
    <xdr:sp macro="" textlink="">
      <xdr:nvSpPr>
        <xdr:cNvPr id="2" name="Прямоугольник: скругленные углы 1">
          <a:hlinkClick xmlns:r="http://schemas.openxmlformats.org/officeDocument/2006/relationships" r:id="rId1"/>
          <a:extLst>
            <a:ext uri="{FF2B5EF4-FFF2-40B4-BE49-F238E27FC236}">
              <a16:creationId xmlns:a16="http://schemas.microsoft.com/office/drawing/2014/main" id="{7D15BE21-9FD3-402E-BD60-2A7EF6590F5C}"/>
            </a:ext>
          </a:extLst>
        </xdr:cNvPr>
        <xdr:cNvSpPr/>
      </xdr:nvSpPr>
      <xdr:spPr>
        <a:xfrm>
          <a:off x="28575" y="28575"/>
          <a:ext cx="571500" cy="20955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38100</xdr:rowOff>
    </xdr:from>
    <xdr:to>
      <xdr:col>3</xdr:col>
      <xdr:colOff>133350</xdr:colOff>
      <xdr:row>1</xdr:row>
      <xdr:rowOff>95250</xdr:rowOff>
    </xdr:to>
    <xdr:sp macro="" textlink="">
      <xdr:nvSpPr>
        <xdr:cNvPr id="2" name="Прямоугольник: скругленные углы 1">
          <a:hlinkClick xmlns:r="http://schemas.openxmlformats.org/officeDocument/2006/relationships" r:id="rId1"/>
          <a:extLst>
            <a:ext uri="{FF2B5EF4-FFF2-40B4-BE49-F238E27FC236}">
              <a16:creationId xmlns:a16="http://schemas.microsoft.com/office/drawing/2014/main" id="{776CC459-592C-4A30-8F91-3AFB32632ED6}"/>
            </a:ext>
          </a:extLst>
        </xdr:cNvPr>
        <xdr:cNvSpPr/>
      </xdr:nvSpPr>
      <xdr:spPr>
        <a:xfrm>
          <a:off x="28575" y="38100"/>
          <a:ext cx="571500" cy="20955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409575</xdr:colOff>
      <xdr:row>1</xdr:row>
      <xdr:rowOff>85725</xdr:rowOff>
    </xdr:to>
    <xdr:sp macro="" textlink="">
      <xdr:nvSpPr>
        <xdr:cNvPr id="2" name="Прямоугольник: скругленные углы 1">
          <a:hlinkClick xmlns:r="http://schemas.openxmlformats.org/officeDocument/2006/relationships" r:id="rId1"/>
          <a:extLst>
            <a:ext uri="{FF2B5EF4-FFF2-40B4-BE49-F238E27FC236}">
              <a16:creationId xmlns:a16="http://schemas.microsoft.com/office/drawing/2014/main" id="{B7A5BA03-FB9D-4E42-8E6C-78D4655B8693}"/>
            </a:ext>
          </a:extLst>
        </xdr:cNvPr>
        <xdr:cNvSpPr/>
      </xdr:nvSpPr>
      <xdr:spPr>
        <a:xfrm>
          <a:off x="28575" y="28575"/>
          <a:ext cx="571500" cy="20955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133350</xdr:colOff>
      <xdr:row>1</xdr:row>
      <xdr:rowOff>85725</xdr:rowOff>
    </xdr:to>
    <xdr:sp macro="" textlink="">
      <xdr:nvSpPr>
        <xdr:cNvPr id="2" name="Прямоугольник: скругленные углы 1">
          <a:hlinkClick xmlns:r="http://schemas.openxmlformats.org/officeDocument/2006/relationships" r:id="rId1"/>
          <a:extLst>
            <a:ext uri="{FF2B5EF4-FFF2-40B4-BE49-F238E27FC236}">
              <a16:creationId xmlns:a16="http://schemas.microsoft.com/office/drawing/2014/main" id="{CACC7F73-9074-4B52-BECA-7D7C766127C4}"/>
            </a:ext>
          </a:extLst>
        </xdr:cNvPr>
        <xdr:cNvSpPr/>
      </xdr:nvSpPr>
      <xdr:spPr>
        <a:xfrm>
          <a:off x="28575" y="28575"/>
          <a:ext cx="571500" cy="20955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28575</xdr:rowOff>
    </xdr:from>
    <xdr:to>
      <xdr:col>3</xdr:col>
      <xdr:colOff>28575</xdr:colOff>
      <xdr:row>1</xdr:row>
      <xdr:rowOff>85725</xdr:rowOff>
    </xdr:to>
    <xdr:sp macro="" textlink="">
      <xdr:nvSpPr>
        <xdr:cNvPr id="2" name="Прямоугольник: скругленные углы 1">
          <a:hlinkClick xmlns:r="http://schemas.openxmlformats.org/officeDocument/2006/relationships" r:id="rId1"/>
          <a:extLst>
            <a:ext uri="{FF2B5EF4-FFF2-40B4-BE49-F238E27FC236}">
              <a16:creationId xmlns:a16="http://schemas.microsoft.com/office/drawing/2014/main" id="{833FD20D-C392-4939-9B46-8DB426A3C53F}"/>
            </a:ext>
          </a:extLst>
        </xdr:cNvPr>
        <xdr:cNvSpPr/>
      </xdr:nvSpPr>
      <xdr:spPr>
        <a:xfrm>
          <a:off x="19050" y="28575"/>
          <a:ext cx="571500" cy="20955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0</xdr:colOff>
      <xdr:row>1</xdr:row>
      <xdr:rowOff>85725</xdr:rowOff>
    </xdr:to>
    <xdr:sp macro="" textlink="">
      <xdr:nvSpPr>
        <xdr:cNvPr id="3" name="Прямоугольник: скругленные углы 2">
          <a:hlinkClick xmlns:r="http://schemas.openxmlformats.org/officeDocument/2006/relationships" r:id="rId1"/>
          <a:extLst>
            <a:ext uri="{FF2B5EF4-FFF2-40B4-BE49-F238E27FC236}">
              <a16:creationId xmlns:a16="http://schemas.microsoft.com/office/drawing/2014/main" id="{46A0F09B-2DB8-4198-A6AB-89E7E163DC62}"/>
            </a:ext>
          </a:extLst>
        </xdr:cNvPr>
        <xdr:cNvSpPr/>
      </xdr:nvSpPr>
      <xdr:spPr>
        <a:xfrm>
          <a:off x="28575" y="28575"/>
          <a:ext cx="571500" cy="20955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27517</xdr:colOff>
      <xdr:row>0</xdr:row>
      <xdr:rowOff>27517</xdr:rowOff>
    </xdr:from>
    <xdr:to>
      <xdr:col>2</xdr:col>
      <xdr:colOff>8467</xdr:colOff>
      <xdr:row>1</xdr:row>
      <xdr:rowOff>84667</xdr:rowOff>
    </xdr:to>
    <xdr:sp macro="" textlink="">
      <xdr:nvSpPr>
        <xdr:cNvPr id="2" name="Прямоугольник: скругленные углы 1">
          <a:hlinkClick xmlns:r="http://schemas.openxmlformats.org/officeDocument/2006/relationships" r:id="rId1"/>
          <a:extLst>
            <a:ext uri="{FF2B5EF4-FFF2-40B4-BE49-F238E27FC236}">
              <a16:creationId xmlns:a16="http://schemas.microsoft.com/office/drawing/2014/main" id="{718DDF32-C6DA-45EA-8FFD-0687267CD627}"/>
            </a:ext>
          </a:extLst>
        </xdr:cNvPr>
        <xdr:cNvSpPr/>
      </xdr:nvSpPr>
      <xdr:spPr>
        <a:xfrm>
          <a:off x="27517" y="27517"/>
          <a:ext cx="573617" cy="205317"/>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52916</xdr:colOff>
      <xdr:row>0</xdr:row>
      <xdr:rowOff>30692</xdr:rowOff>
    </xdr:from>
    <xdr:to>
      <xdr:col>1</xdr:col>
      <xdr:colOff>476249</xdr:colOff>
      <xdr:row>1</xdr:row>
      <xdr:rowOff>92075</xdr:rowOff>
    </xdr:to>
    <xdr:sp macro="" textlink="">
      <xdr:nvSpPr>
        <xdr:cNvPr id="2" name="Прямоугольник: скругленные углы 1">
          <a:hlinkClick xmlns:r="http://schemas.openxmlformats.org/officeDocument/2006/relationships" r:id="rId1"/>
          <a:extLst>
            <a:ext uri="{FF2B5EF4-FFF2-40B4-BE49-F238E27FC236}">
              <a16:creationId xmlns:a16="http://schemas.microsoft.com/office/drawing/2014/main" id="{4725B050-466B-45A3-8E5D-5270F3CCF16F}"/>
            </a:ext>
          </a:extLst>
        </xdr:cNvPr>
        <xdr:cNvSpPr/>
      </xdr:nvSpPr>
      <xdr:spPr>
        <a:xfrm>
          <a:off x="52916" y="30692"/>
          <a:ext cx="566208" cy="213783"/>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28575</xdr:rowOff>
    </xdr:from>
    <xdr:to>
      <xdr:col>3</xdr:col>
      <xdr:colOff>19050</xdr:colOff>
      <xdr:row>1</xdr:row>
      <xdr:rowOff>85725</xdr:rowOff>
    </xdr:to>
    <xdr:sp macro="" textlink="">
      <xdr:nvSpPr>
        <xdr:cNvPr id="2" name="Прямоугольник: скругленные углы 1">
          <a:hlinkClick xmlns:r="http://schemas.openxmlformats.org/officeDocument/2006/relationships" r:id="rId1"/>
          <a:extLst>
            <a:ext uri="{FF2B5EF4-FFF2-40B4-BE49-F238E27FC236}">
              <a16:creationId xmlns:a16="http://schemas.microsoft.com/office/drawing/2014/main" id="{E399D8CC-1F6E-425C-A73F-F99011E81935}"/>
            </a:ext>
          </a:extLst>
        </xdr:cNvPr>
        <xdr:cNvSpPr/>
      </xdr:nvSpPr>
      <xdr:spPr>
        <a:xfrm>
          <a:off x="38100" y="28575"/>
          <a:ext cx="571500" cy="209550"/>
        </a:xfrm>
        <a:prstGeom prst="roundRect">
          <a:avLst/>
        </a:prstGeom>
        <a:solidFill>
          <a:srgbClr val="EF3E4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700" b="1">
              <a:latin typeface="Arial" panose="020B0604020202020204" pitchFamily="34" charset="0"/>
              <a:cs typeface="Arial" panose="020B0604020202020204" pitchFamily="34" charset="0"/>
            </a:rPr>
            <a:t>Back</a:t>
          </a:r>
          <a:r>
            <a:rPr lang="en-US" sz="700" b="1" baseline="0">
              <a:latin typeface="Arial" panose="020B0604020202020204" pitchFamily="34" charset="0"/>
              <a:cs typeface="Arial" panose="020B0604020202020204" pitchFamily="34" charset="0"/>
            </a:rPr>
            <a:t> </a:t>
          </a:r>
          <a:endParaRPr lang="ru-RU" sz="7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r@globalports.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globalports.com/globalports/investors/reporting-transactions/annual-interim-result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globalports.com/globalports/investors/reporting-transactions/annual-interim-result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globalports.com/globalports/investors/reporting-transactions/annual-interim-resul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globalports.com/globalports/investors/reporting-transactions/annual-interim-result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bin"/><Relationship Id="rId1" Type="http://schemas.openxmlformats.org/officeDocument/2006/relationships/hyperlink" Target="http://www.globalports.com/globalports/investors/reporting-transactions/annual-interim-results"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bin"/><Relationship Id="rId1" Type="http://schemas.openxmlformats.org/officeDocument/2006/relationships/hyperlink" Target="http://www.globalports.com/globalports/investors/reporting-transactions/annual-interim-result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londonstockexchange.com/exchange/prices-and-markets/stocks/summary/company-summary/US37951Q2021USUSDIOBE.html?lang=en"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m.grigoriev@globalports.com" TargetMode="External"/><Relationship Id="rId1" Type="http://schemas.openxmlformats.org/officeDocument/2006/relationships/hyperlink" Target="mailto:m.grigoriev@globalports.com"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AF38"/>
  <sheetViews>
    <sheetView tabSelected="1" workbookViewId="0">
      <selection activeCell="H35" sqref="H35:AE35"/>
    </sheetView>
  </sheetViews>
  <sheetFormatPr defaultColWidth="9.140625" defaultRowHeight="14.25"/>
  <cols>
    <col min="1" max="1" width="1.140625" style="297" customWidth="1"/>
    <col min="2" max="6" width="9.140625" style="297" hidden="1" customWidth="1"/>
    <col min="7" max="9" width="9.140625" style="297"/>
    <col min="10" max="12" width="9.140625" style="297" customWidth="1"/>
    <col min="13" max="20" width="9.140625" style="297"/>
    <col min="21" max="21" width="0" style="297" hidden="1" customWidth="1"/>
    <col min="22" max="22" width="6.140625" style="297" hidden="1" customWidth="1"/>
    <col min="23" max="23" width="3.85546875" style="297" hidden="1" customWidth="1"/>
    <col min="24" max="24" width="10.7109375" style="297" hidden="1" customWidth="1"/>
    <col min="25" max="25" width="11.42578125" style="297" hidden="1" customWidth="1"/>
    <col min="26" max="26" width="10.28515625" style="297" hidden="1" customWidth="1"/>
    <col min="27" max="27" width="10.5703125" style="297" hidden="1" customWidth="1"/>
    <col min="28" max="29" width="0" style="297" hidden="1" customWidth="1"/>
    <col min="30" max="16384" width="9.140625" style="297"/>
  </cols>
  <sheetData>
    <row r="4" spans="8:25">
      <c r="Y4" s="354" t="s">
        <v>236</v>
      </c>
    </row>
    <row r="7" spans="8:25">
      <c r="H7" s="15" t="s">
        <v>242</v>
      </c>
    </row>
    <row r="13" spans="8:25" ht="15">
      <c r="W13" s="355" t="s">
        <v>90</v>
      </c>
    </row>
    <row r="14" spans="8:25">
      <c r="W14" s="297" t="s">
        <v>91</v>
      </c>
    </row>
    <row r="17" spans="8:27">
      <c r="W17" s="356">
        <v>1</v>
      </c>
      <c r="X17" s="458" t="s">
        <v>93</v>
      </c>
      <c r="Y17" s="459"/>
      <c r="Z17" s="459"/>
      <c r="AA17" s="460"/>
    </row>
    <row r="18" spans="8:27">
      <c r="W18" s="356">
        <v>2</v>
      </c>
      <c r="X18" s="458" t="s">
        <v>158</v>
      </c>
      <c r="Y18" s="459"/>
      <c r="Z18" s="459"/>
      <c r="AA18" s="460"/>
    </row>
    <row r="19" spans="8:27">
      <c r="W19" s="356">
        <v>3</v>
      </c>
      <c r="X19" s="458" t="s">
        <v>159</v>
      </c>
      <c r="Y19" s="459"/>
      <c r="Z19" s="459"/>
      <c r="AA19" s="460"/>
    </row>
    <row r="20" spans="8:27">
      <c r="W20" s="356">
        <v>4</v>
      </c>
      <c r="X20" s="458" t="s">
        <v>160</v>
      </c>
      <c r="Y20" s="459"/>
      <c r="Z20" s="459"/>
      <c r="AA20" s="460"/>
    </row>
    <row r="21" spans="8:27">
      <c r="W21" s="356">
        <v>5</v>
      </c>
      <c r="X21" s="458" t="s">
        <v>212</v>
      </c>
      <c r="Y21" s="459"/>
      <c r="Z21" s="459"/>
      <c r="AA21" s="460"/>
    </row>
    <row r="22" spans="8:27">
      <c r="W22" s="356">
        <v>6</v>
      </c>
      <c r="X22" s="458" t="s">
        <v>213</v>
      </c>
      <c r="Y22" s="459"/>
      <c r="Z22" s="459"/>
      <c r="AA22" s="460"/>
    </row>
    <row r="23" spans="8:27">
      <c r="W23" s="356">
        <v>7</v>
      </c>
      <c r="X23" s="458" t="s">
        <v>157</v>
      </c>
      <c r="Y23" s="459"/>
      <c r="Z23" s="459"/>
      <c r="AA23" s="460"/>
    </row>
    <row r="24" spans="8:27" ht="15.75">
      <c r="H24" s="359" t="s">
        <v>92</v>
      </c>
      <c r="I24" s="6"/>
      <c r="W24" s="356">
        <v>8</v>
      </c>
      <c r="X24" s="458" t="s">
        <v>214</v>
      </c>
      <c r="Y24" s="459"/>
      <c r="Z24" s="459"/>
      <c r="AA24" s="460"/>
    </row>
    <row r="25" spans="8:27">
      <c r="H25" s="461">
        <v>44062</v>
      </c>
      <c r="I25" s="461"/>
      <c r="W25" s="356">
        <v>9</v>
      </c>
      <c r="X25" s="458" t="s">
        <v>215</v>
      </c>
      <c r="Y25" s="459"/>
      <c r="Z25" s="459"/>
      <c r="AA25" s="460"/>
    </row>
    <row r="26" spans="8:27">
      <c r="H26" s="6"/>
      <c r="I26" s="6"/>
      <c r="J26" s="6"/>
      <c r="W26" s="356">
        <v>10</v>
      </c>
      <c r="X26" s="458" t="s">
        <v>216</v>
      </c>
      <c r="Y26" s="459"/>
      <c r="Z26" s="459"/>
      <c r="AA26" s="460"/>
    </row>
    <row r="27" spans="8:27" ht="15.75">
      <c r="H27" s="455" t="s">
        <v>801</v>
      </c>
      <c r="I27" s="276"/>
      <c r="J27" s="276"/>
      <c r="K27" s="456"/>
      <c r="L27" s="456"/>
      <c r="W27" s="452"/>
      <c r="X27" s="453"/>
      <c r="Y27" s="453"/>
      <c r="Z27" s="453"/>
      <c r="AA27" s="453"/>
    </row>
    <row r="28" spans="8:27" ht="14.25" customHeight="1">
      <c r="H28" s="461" t="s">
        <v>802</v>
      </c>
      <c r="I28" s="461"/>
      <c r="J28" s="461"/>
      <c r="K28" s="461"/>
      <c r="L28" s="461"/>
      <c r="W28" s="452"/>
      <c r="X28" s="453"/>
      <c r="Y28" s="453"/>
      <c r="Z28" s="453"/>
      <c r="AA28" s="453"/>
    </row>
    <row r="29" spans="8:27">
      <c r="H29" s="461" t="s">
        <v>803</v>
      </c>
      <c r="I29" s="461"/>
      <c r="J29" s="461"/>
      <c r="K29" s="461"/>
      <c r="L29" s="461"/>
      <c r="W29" s="452"/>
      <c r="X29" s="453"/>
      <c r="Y29" s="453"/>
      <c r="Z29" s="453"/>
      <c r="AA29" s="453"/>
    </row>
    <row r="30" spans="8:27">
      <c r="H30" s="461" t="s">
        <v>804</v>
      </c>
      <c r="I30" s="461"/>
      <c r="J30" s="461"/>
      <c r="K30" s="461"/>
      <c r="L30" s="461"/>
      <c r="W30" s="452"/>
      <c r="X30" s="453"/>
      <c r="Y30" s="453"/>
      <c r="Z30" s="453"/>
      <c r="AA30" s="453"/>
    </row>
    <row r="31" spans="8:27">
      <c r="H31" s="454" t="s">
        <v>805</v>
      </c>
      <c r="I31" s="6"/>
      <c r="J31" s="6"/>
      <c r="W31" s="452"/>
      <c r="X31" s="453"/>
      <c r="Y31" s="453"/>
      <c r="Z31" s="453"/>
      <c r="AA31" s="453"/>
    </row>
    <row r="32" spans="8:27">
      <c r="H32" s="6"/>
      <c r="I32" s="6"/>
      <c r="J32" s="6"/>
      <c r="W32" s="452"/>
      <c r="X32" s="453"/>
      <c r="Y32" s="453"/>
      <c r="Z32" s="453"/>
      <c r="AA32" s="453"/>
    </row>
    <row r="34" spans="8:32" ht="15.75">
      <c r="H34" s="359" t="s">
        <v>241</v>
      </c>
      <c r="I34" s="360"/>
      <c r="J34" s="360"/>
      <c r="K34" s="360"/>
      <c r="L34" s="361"/>
      <c r="M34" s="360"/>
      <c r="N34" s="360"/>
      <c r="O34" s="360"/>
      <c r="P34" s="360"/>
      <c r="Q34" s="360"/>
      <c r="R34" s="360"/>
      <c r="S34" s="360"/>
      <c r="T34" s="360"/>
      <c r="U34" s="360"/>
      <c r="V34" s="360"/>
      <c r="W34" s="360" t="s">
        <v>92</v>
      </c>
      <c r="X34" s="360"/>
      <c r="Y34" s="360"/>
      <c r="Z34" s="362">
        <v>43831</v>
      </c>
      <c r="AA34" s="362"/>
      <c r="AB34" s="360"/>
      <c r="AC34" s="360"/>
      <c r="AD34" s="360"/>
      <c r="AE34" s="360"/>
    </row>
    <row r="35" spans="8:32" ht="42.75">
      <c r="H35" s="457" t="s">
        <v>731</v>
      </c>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357" t="s">
        <v>728</v>
      </c>
    </row>
    <row r="36" spans="8:32" ht="185.25">
      <c r="H36" s="457" t="s">
        <v>725</v>
      </c>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357" t="s">
        <v>730</v>
      </c>
    </row>
    <row r="37" spans="8:32" ht="42.75">
      <c r="H37" s="457" t="s">
        <v>726</v>
      </c>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358" t="s">
        <v>728</v>
      </c>
    </row>
    <row r="38" spans="8:32" ht="71.25">
      <c r="H38" s="457" t="s">
        <v>727</v>
      </c>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357" t="s">
        <v>729</v>
      </c>
    </row>
  </sheetData>
  <mergeCells count="18">
    <mergeCell ref="X17:AA17"/>
    <mergeCell ref="X18:AA18"/>
    <mergeCell ref="X19:AA19"/>
    <mergeCell ref="X20:AA20"/>
    <mergeCell ref="X21:AA21"/>
    <mergeCell ref="X25:AA25"/>
    <mergeCell ref="X24:AA24"/>
    <mergeCell ref="X23:AA23"/>
    <mergeCell ref="H25:I25"/>
    <mergeCell ref="X22:AA22"/>
    <mergeCell ref="H35:AE35"/>
    <mergeCell ref="H36:AE36"/>
    <mergeCell ref="H37:AE37"/>
    <mergeCell ref="H38:AE38"/>
    <mergeCell ref="X26:AA26"/>
    <mergeCell ref="H28:L28"/>
    <mergeCell ref="H29:L29"/>
    <mergeCell ref="H30:L30"/>
  </mergeCells>
  <hyperlinks>
    <hyperlink ref="X17:AA17" location="Market!A1" display="Russian Container Market Statictics" xr:uid="{00000000-0004-0000-0000-000000000000}"/>
    <hyperlink ref="X23:AA23" location="ESG!A1" display="ESG" xr:uid="{00000000-0004-0000-0000-000001000000}"/>
    <hyperlink ref="X18:AA18" location="'Income statement'!A1" display="Income statement" xr:uid="{00000000-0004-0000-0000-000002000000}"/>
    <hyperlink ref="X19:AA19" location="'Balance sheet'!A1" display="Balance sheet" xr:uid="{00000000-0004-0000-0000-000003000000}"/>
    <hyperlink ref="X20:AA20" location="'Cash flow'!A1" display="Cash flow" xr:uid="{00000000-0004-0000-0000-000004000000}"/>
    <hyperlink ref="X21:AA21" location="'Non-IFRS financial measures'!A1" display="Non-IFRS financial measures" xr:uid="{00000000-0004-0000-0000-000005000000}"/>
    <hyperlink ref="X22:AA22" location="'Operational data'!A1" display="Operational data" xr:uid="{00000000-0004-0000-0000-000006000000}"/>
    <hyperlink ref="X24:AA24" location="Ratings!A1" display="Ratings" xr:uid="{00000000-0004-0000-0000-000007000000}"/>
    <hyperlink ref="X25:AA25" location="Assets!A1" display="Assets" xr:uid="{00000000-0004-0000-0000-000008000000}"/>
    <hyperlink ref="H31" r:id="rId1" display="mailto:ir@globalports.com" xr:uid="{12058054-73E5-40B0-87B8-4A50EBF91BC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7F83"/>
  </sheetPr>
  <dimension ref="A1:AS88"/>
  <sheetViews>
    <sheetView zoomScale="80" zoomScaleNormal="80" workbookViewId="0">
      <pane xSplit="4" ySplit="5" topLeftCell="E6" activePane="bottomRight" state="frozen"/>
      <selection activeCell="H25" sqref="H25:I25"/>
      <selection pane="topRight" activeCell="H25" sqref="H25:I25"/>
      <selection pane="bottomLeft" activeCell="H25" sqref="H25:I25"/>
      <selection pane="bottomRight" activeCell="AR6" sqref="AR6"/>
    </sheetView>
  </sheetViews>
  <sheetFormatPr defaultColWidth="9.140625" defaultRowHeight="12"/>
  <cols>
    <col min="1" max="1" width="2.28515625" style="12" customWidth="1"/>
    <col min="2" max="2" width="4.85546875" style="13" customWidth="1"/>
    <col min="3" max="3" width="2" style="13" customWidth="1"/>
    <col min="4" max="4" width="46.42578125" style="291" customWidth="1"/>
    <col min="5" max="6" width="9.5703125" style="179" customWidth="1"/>
    <col min="7" max="7" width="10" style="179" customWidth="1"/>
    <col min="8" max="9" width="9.42578125" style="179" bestFit="1" customWidth="1"/>
    <col min="10" max="10" width="2.42578125" style="179" customWidth="1"/>
    <col min="11" max="11" width="9.42578125" style="179" bestFit="1" customWidth="1"/>
    <col min="12" max="12" width="9.42578125" style="179" customWidth="1"/>
    <col min="13" max="18" width="9.140625" style="179"/>
    <col min="19" max="19" width="1.85546875" style="178" customWidth="1"/>
    <col min="20" max="25" width="9.140625" style="179"/>
    <col min="26" max="26" width="2.42578125" style="179" customWidth="1"/>
    <col min="27" max="28" width="9.140625" style="179"/>
    <col min="29" max="29" width="10.5703125" style="179" customWidth="1"/>
    <col min="30" max="30" width="9.7109375" style="179" customWidth="1"/>
    <col min="31" max="43" width="9.140625" style="179"/>
    <col min="44" max="16384" width="9.140625" style="13"/>
  </cols>
  <sheetData>
    <row r="1" spans="1:45" s="9" customFormat="1">
      <c r="A1" s="6"/>
      <c r="D1" s="276"/>
      <c r="E1" s="173"/>
      <c r="F1" s="173"/>
      <c r="G1" s="173"/>
      <c r="H1" s="173"/>
      <c r="I1" s="173"/>
      <c r="J1" s="173"/>
      <c r="K1" s="173"/>
      <c r="L1" s="173"/>
      <c r="M1" s="173"/>
      <c r="N1" s="173"/>
      <c r="O1" s="173"/>
      <c r="P1" s="173"/>
      <c r="Q1" s="173"/>
      <c r="R1" s="173"/>
      <c r="S1" s="164"/>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row>
    <row r="2" spans="1:45" s="9" customFormat="1">
      <c r="A2" s="14"/>
      <c r="D2" s="276"/>
      <c r="E2" s="176"/>
      <c r="F2" s="176"/>
      <c r="G2" s="176"/>
      <c r="H2" s="176"/>
      <c r="I2" s="176"/>
      <c r="J2" s="176"/>
      <c r="K2" s="173"/>
      <c r="L2" s="173"/>
      <c r="M2" s="173"/>
      <c r="N2" s="173"/>
      <c r="O2" s="173"/>
      <c r="P2" s="173"/>
      <c r="Q2" s="173"/>
      <c r="R2" s="173"/>
      <c r="S2" s="164"/>
      <c r="T2" s="173"/>
      <c r="U2" s="173"/>
      <c r="V2" s="173"/>
      <c r="W2" s="173"/>
      <c r="X2" s="173"/>
      <c r="Y2" s="173"/>
      <c r="Z2" s="176"/>
      <c r="AA2" s="173"/>
      <c r="AB2" s="173"/>
      <c r="AC2" s="173"/>
      <c r="AD2" s="173"/>
      <c r="AE2" s="173"/>
      <c r="AF2" s="173"/>
      <c r="AG2" s="173"/>
      <c r="AH2" s="173"/>
      <c r="AI2" s="173"/>
      <c r="AJ2" s="173"/>
      <c r="AK2" s="173"/>
      <c r="AL2" s="173"/>
      <c r="AM2" s="173"/>
      <c r="AN2" s="173"/>
      <c r="AO2" s="173"/>
      <c r="AP2" s="173"/>
      <c r="AQ2" s="173"/>
    </row>
    <row r="3" spans="1:45" s="9" customFormat="1" ht="15.75">
      <c r="A3" s="14"/>
      <c r="D3" s="279" t="s">
        <v>562</v>
      </c>
      <c r="E3" s="176"/>
      <c r="F3" s="176"/>
      <c r="G3" s="176"/>
      <c r="H3" s="176"/>
      <c r="I3" s="176"/>
      <c r="J3" s="176"/>
      <c r="K3" s="173"/>
      <c r="L3" s="173"/>
      <c r="M3" s="173"/>
      <c r="N3" s="173"/>
      <c r="O3" s="173"/>
      <c r="P3" s="173"/>
      <c r="Q3" s="173"/>
      <c r="R3" s="173"/>
      <c r="S3" s="164"/>
      <c r="T3" s="173"/>
      <c r="U3" s="173"/>
      <c r="V3" s="173"/>
      <c r="W3" s="173"/>
      <c r="X3" s="173"/>
      <c r="Y3" s="173"/>
      <c r="Z3" s="176"/>
      <c r="AA3" s="173"/>
      <c r="AB3" s="173"/>
      <c r="AC3" s="173"/>
      <c r="AD3" s="173"/>
      <c r="AE3" s="173"/>
      <c r="AF3" s="173"/>
      <c r="AG3" s="173"/>
      <c r="AH3" s="173"/>
      <c r="AI3" s="173"/>
      <c r="AJ3" s="173"/>
      <c r="AK3" s="173"/>
      <c r="AL3" s="173"/>
      <c r="AM3" s="173"/>
      <c r="AN3" s="173"/>
      <c r="AO3" s="173"/>
      <c r="AP3" s="173"/>
      <c r="AQ3" s="173"/>
    </row>
    <row r="4" spans="1:45" s="123" customFormat="1" ht="15" customHeight="1">
      <c r="A4" s="69"/>
      <c r="D4" s="274"/>
      <c r="E4" s="172"/>
      <c r="F4" s="172"/>
      <c r="G4" s="172"/>
      <c r="H4" s="172"/>
      <c r="I4" s="172"/>
      <c r="J4" s="172"/>
      <c r="K4" s="172"/>
      <c r="L4" s="172"/>
      <c r="M4" s="172"/>
      <c r="N4" s="172"/>
      <c r="O4" s="172"/>
      <c r="P4" s="172"/>
      <c r="Q4" s="172"/>
      <c r="R4" s="172"/>
      <c r="S4" s="431"/>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row>
    <row r="5" spans="1:45" s="295" customFormat="1">
      <c r="A5" s="294"/>
      <c r="D5" s="280"/>
      <c r="E5" s="224">
        <v>39813</v>
      </c>
      <c r="F5" s="224">
        <v>40178</v>
      </c>
      <c r="G5" s="224">
        <v>40543</v>
      </c>
      <c r="H5" s="224">
        <v>40908</v>
      </c>
      <c r="I5" s="224">
        <v>41274</v>
      </c>
      <c r="J5" s="224"/>
      <c r="K5" s="224">
        <v>41639</v>
      </c>
      <c r="L5" s="224">
        <v>41639</v>
      </c>
      <c r="M5" s="224">
        <v>42004</v>
      </c>
      <c r="N5" s="224">
        <v>42369</v>
      </c>
      <c r="O5" s="224">
        <v>42735</v>
      </c>
      <c r="P5" s="224">
        <v>43100</v>
      </c>
      <c r="Q5" s="224">
        <v>43465</v>
      </c>
      <c r="R5" s="224">
        <v>43830</v>
      </c>
      <c r="S5" s="430"/>
      <c r="T5" s="224" t="s">
        <v>347</v>
      </c>
      <c r="U5" s="224" t="s">
        <v>348</v>
      </c>
      <c r="V5" s="224" t="s">
        <v>345</v>
      </c>
      <c r="W5" s="224" t="s">
        <v>346</v>
      </c>
      <c r="X5" s="224" t="s">
        <v>343</v>
      </c>
      <c r="Y5" s="224" t="s">
        <v>344</v>
      </c>
      <c r="Z5" s="224"/>
      <c r="AA5" s="224" t="s">
        <v>95</v>
      </c>
      <c r="AB5" s="224" t="s">
        <v>96</v>
      </c>
      <c r="AC5" s="224" t="s">
        <v>95</v>
      </c>
      <c r="AD5" s="224" t="s">
        <v>96</v>
      </c>
      <c r="AE5" s="224" t="s">
        <v>97</v>
      </c>
      <c r="AF5" s="224" t="s">
        <v>98</v>
      </c>
      <c r="AG5" s="224" t="s">
        <v>99</v>
      </c>
      <c r="AH5" s="224" t="s">
        <v>100</v>
      </c>
      <c r="AI5" s="224" t="s">
        <v>101</v>
      </c>
      <c r="AJ5" s="224" t="s">
        <v>102</v>
      </c>
      <c r="AK5" s="224" t="s">
        <v>103</v>
      </c>
      <c r="AL5" s="224" t="s">
        <v>105</v>
      </c>
      <c r="AM5" s="224" t="s">
        <v>106</v>
      </c>
      <c r="AN5" s="224" t="s">
        <v>104</v>
      </c>
      <c r="AO5" s="224" t="s">
        <v>653</v>
      </c>
      <c r="AP5" s="224" t="s">
        <v>758</v>
      </c>
      <c r="AQ5" s="224" t="s">
        <v>795</v>
      </c>
    </row>
    <row r="6" spans="1:45" s="222" customFormat="1" ht="48">
      <c r="A6" s="86"/>
      <c r="D6" s="281"/>
      <c r="E6" s="292" t="s">
        <v>739</v>
      </c>
      <c r="F6" s="292" t="s">
        <v>739</v>
      </c>
      <c r="G6" s="292"/>
      <c r="H6" s="292"/>
      <c r="I6" s="292"/>
      <c r="J6" s="292"/>
      <c r="K6" s="292" t="s">
        <v>750</v>
      </c>
      <c r="L6" s="363" t="s">
        <v>752</v>
      </c>
      <c r="M6" s="292"/>
      <c r="N6" s="292"/>
      <c r="O6" s="292"/>
      <c r="P6" s="292"/>
      <c r="Q6" s="292"/>
      <c r="R6" s="292"/>
      <c r="S6" s="292"/>
      <c r="T6" s="292"/>
      <c r="U6" s="292"/>
      <c r="V6" s="292"/>
      <c r="W6" s="292"/>
      <c r="X6" s="292"/>
      <c r="Y6" s="292"/>
      <c r="Z6" s="292"/>
      <c r="AA6" s="292" t="s">
        <v>750</v>
      </c>
      <c r="AB6" s="292" t="s">
        <v>750</v>
      </c>
      <c r="AC6" s="363" t="s">
        <v>753</v>
      </c>
      <c r="AD6" s="363" t="s">
        <v>752</v>
      </c>
      <c r="AE6" s="292"/>
      <c r="AF6" s="292"/>
      <c r="AG6" s="292"/>
      <c r="AH6" s="292"/>
      <c r="AI6" s="292"/>
      <c r="AJ6" s="292"/>
      <c r="AK6" s="292"/>
      <c r="AL6" s="292"/>
      <c r="AM6" s="292"/>
      <c r="AN6" s="292"/>
      <c r="AO6" s="292"/>
      <c r="AP6" s="292"/>
      <c r="AQ6" s="292"/>
    </row>
    <row r="7" spans="1:45" s="9" customFormat="1" ht="12" customHeight="1">
      <c r="B7" s="462" t="s">
        <v>697</v>
      </c>
      <c r="D7" s="282" t="s">
        <v>0</v>
      </c>
      <c r="E7" s="331">
        <v>512294</v>
      </c>
      <c r="F7" s="331">
        <v>274550</v>
      </c>
      <c r="G7" s="331">
        <v>382437</v>
      </c>
      <c r="H7" s="331">
        <v>501341</v>
      </c>
      <c r="I7" s="331">
        <v>501828.57456179406</v>
      </c>
      <c r="J7" s="331"/>
      <c r="K7" s="331">
        <v>332244</v>
      </c>
      <c r="L7" s="331">
        <v>589117.58710648154</v>
      </c>
      <c r="M7" s="331">
        <v>562382</v>
      </c>
      <c r="N7" s="331">
        <v>405692</v>
      </c>
      <c r="O7" s="331">
        <v>331468</v>
      </c>
      <c r="P7" s="331">
        <v>330505</v>
      </c>
      <c r="Q7" s="331">
        <v>343575</v>
      </c>
      <c r="R7" s="331">
        <v>361873</v>
      </c>
      <c r="S7" s="322"/>
      <c r="T7" s="331">
        <v>165559</v>
      </c>
      <c r="U7" s="331">
        <v>216878</v>
      </c>
      <c r="V7" s="331">
        <v>259693</v>
      </c>
      <c r="W7" s="331">
        <v>241648</v>
      </c>
      <c r="X7" s="331">
        <v>255688</v>
      </c>
      <c r="Y7" s="331">
        <v>246140.57456179406</v>
      </c>
      <c r="Z7" s="331"/>
      <c r="AA7" s="331">
        <v>168767</v>
      </c>
      <c r="AB7" s="331">
        <v>163477</v>
      </c>
      <c r="AC7" s="331">
        <v>300568.18537320517</v>
      </c>
      <c r="AD7" s="331">
        <v>288549.40173327638</v>
      </c>
      <c r="AE7" s="331">
        <v>286518</v>
      </c>
      <c r="AF7" s="331">
        <v>275864</v>
      </c>
      <c r="AG7" s="331">
        <v>214329</v>
      </c>
      <c r="AH7" s="331">
        <v>191363</v>
      </c>
      <c r="AI7" s="331">
        <v>163707</v>
      </c>
      <c r="AJ7" s="331">
        <v>167761</v>
      </c>
      <c r="AK7" s="331">
        <v>162467</v>
      </c>
      <c r="AL7" s="331">
        <v>168038</v>
      </c>
      <c r="AM7" s="331">
        <v>175339</v>
      </c>
      <c r="AN7" s="331">
        <v>168236</v>
      </c>
      <c r="AO7" s="331">
        <v>181240</v>
      </c>
      <c r="AP7" s="331">
        <f>R7-AO7</f>
        <v>180633</v>
      </c>
      <c r="AQ7" s="331">
        <v>184436</v>
      </c>
      <c r="AS7" s="164"/>
    </row>
    <row r="8" spans="1:45" s="9" customFormat="1">
      <c r="A8" s="6"/>
      <c r="B8" s="462"/>
      <c r="D8" s="282" t="s">
        <v>1</v>
      </c>
      <c r="E8" s="331">
        <v>-244250</v>
      </c>
      <c r="F8" s="331">
        <v>-160429</v>
      </c>
      <c r="G8" s="331">
        <v>-198509</v>
      </c>
      <c r="H8" s="331">
        <v>-237628</v>
      </c>
      <c r="I8" s="331">
        <v>-299807</v>
      </c>
      <c r="J8" s="331"/>
      <c r="K8" s="331">
        <v>-136979</v>
      </c>
      <c r="L8" s="331">
        <v>-285298.26767231786</v>
      </c>
      <c r="M8" s="331">
        <v>-231476</v>
      </c>
      <c r="N8" s="331">
        <v>-176367</v>
      </c>
      <c r="O8" s="331">
        <v>-186064</v>
      </c>
      <c r="P8" s="331">
        <v>-148511</v>
      </c>
      <c r="Q8" s="331">
        <v>-136020</v>
      </c>
      <c r="R8" s="331">
        <v>-151819</v>
      </c>
      <c r="S8" s="322"/>
      <c r="T8" s="331">
        <v>-98270</v>
      </c>
      <c r="U8" s="335">
        <v>-100239</v>
      </c>
      <c r="V8" s="331">
        <v>-123276</v>
      </c>
      <c r="W8" s="335">
        <v>-114352</v>
      </c>
      <c r="X8" s="331">
        <v>-122349</v>
      </c>
      <c r="Y8" s="335">
        <v>-177458</v>
      </c>
      <c r="Z8" s="331"/>
      <c r="AA8" s="331">
        <v>-69959</v>
      </c>
      <c r="AB8" s="335">
        <v>-67020</v>
      </c>
      <c r="AC8" s="331">
        <v>-142404.88396733135</v>
      </c>
      <c r="AD8" s="331">
        <v>-142893.38370498651</v>
      </c>
      <c r="AE8" s="331">
        <v>-123428</v>
      </c>
      <c r="AF8" s="335">
        <v>-108048</v>
      </c>
      <c r="AG8" s="331">
        <v>-116272</v>
      </c>
      <c r="AH8" s="335">
        <v>-60095</v>
      </c>
      <c r="AI8" s="331">
        <v>-55057</v>
      </c>
      <c r="AJ8" s="335">
        <v>-131007</v>
      </c>
      <c r="AK8" s="331">
        <v>-79925</v>
      </c>
      <c r="AL8" s="331">
        <v>-68586</v>
      </c>
      <c r="AM8" s="331">
        <v>-70666</v>
      </c>
      <c r="AN8" s="331">
        <v>-65354</v>
      </c>
      <c r="AO8" s="331">
        <f>-70754</f>
        <v>-70754</v>
      </c>
      <c r="AP8" s="331">
        <f t="shared" ref="AP8:AP27" si="0">R8-AO8</f>
        <v>-81065</v>
      </c>
      <c r="AQ8" s="331">
        <v>-89920</v>
      </c>
      <c r="AS8" s="164"/>
    </row>
    <row r="9" spans="1:45" s="17" customFormat="1">
      <c r="A9" s="6"/>
      <c r="B9" s="462"/>
      <c r="D9" s="283" t="s">
        <v>2</v>
      </c>
      <c r="E9" s="332">
        <f t="shared" ref="E9:R9" si="1">E7+E8</f>
        <v>268044</v>
      </c>
      <c r="F9" s="332">
        <f t="shared" si="1"/>
        <v>114121</v>
      </c>
      <c r="G9" s="332">
        <f t="shared" si="1"/>
        <v>183928</v>
      </c>
      <c r="H9" s="332">
        <f t="shared" si="1"/>
        <v>263713</v>
      </c>
      <c r="I9" s="332">
        <f t="shared" si="1"/>
        <v>202021.57456179406</v>
      </c>
      <c r="J9" s="332"/>
      <c r="K9" s="332">
        <f t="shared" si="1"/>
        <v>195265</v>
      </c>
      <c r="L9" s="332">
        <f t="shared" si="1"/>
        <v>303819.31943416368</v>
      </c>
      <c r="M9" s="332">
        <f t="shared" si="1"/>
        <v>330906</v>
      </c>
      <c r="N9" s="332">
        <f t="shared" si="1"/>
        <v>229325</v>
      </c>
      <c r="O9" s="332">
        <f t="shared" si="1"/>
        <v>145404</v>
      </c>
      <c r="P9" s="332">
        <f t="shared" si="1"/>
        <v>181994</v>
      </c>
      <c r="Q9" s="332">
        <f t="shared" si="1"/>
        <v>207555</v>
      </c>
      <c r="R9" s="332">
        <f t="shared" si="1"/>
        <v>210054</v>
      </c>
      <c r="S9" s="324"/>
      <c r="T9" s="332">
        <f t="shared" ref="T9:AD9" si="2">T7+T8</f>
        <v>67289</v>
      </c>
      <c r="U9" s="332">
        <f t="shared" si="2"/>
        <v>116639</v>
      </c>
      <c r="V9" s="332">
        <f t="shared" si="2"/>
        <v>136417</v>
      </c>
      <c r="W9" s="332">
        <f t="shared" si="2"/>
        <v>127296</v>
      </c>
      <c r="X9" s="332">
        <f t="shared" si="2"/>
        <v>133339</v>
      </c>
      <c r="Y9" s="332">
        <f t="shared" si="2"/>
        <v>68682.574561794056</v>
      </c>
      <c r="Z9" s="332"/>
      <c r="AA9" s="332">
        <f t="shared" si="2"/>
        <v>98808</v>
      </c>
      <c r="AB9" s="332">
        <f t="shared" si="2"/>
        <v>96457</v>
      </c>
      <c r="AC9" s="332">
        <f t="shared" si="2"/>
        <v>158163.30140587382</v>
      </c>
      <c r="AD9" s="332">
        <f t="shared" si="2"/>
        <v>145656.01802828987</v>
      </c>
      <c r="AE9" s="332">
        <f t="shared" ref="AE9:AO9" si="3">AE7+AE8</f>
        <v>163090</v>
      </c>
      <c r="AF9" s="332">
        <f t="shared" si="3"/>
        <v>167816</v>
      </c>
      <c r="AG9" s="332">
        <f t="shared" si="3"/>
        <v>98057</v>
      </c>
      <c r="AH9" s="332">
        <f t="shared" si="3"/>
        <v>131268</v>
      </c>
      <c r="AI9" s="332">
        <f t="shared" si="3"/>
        <v>108650</v>
      </c>
      <c r="AJ9" s="332">
        <f t="shared" si="3"/>
        <v>36754</v>
      </c>
      <c r="AK9" s="332">
        <f t="shared" si="3"/>
        <v>82542</v>
      </c>
      <c r="AL9" s="332">
        <f t="shared" si="3"/>
        <v>99452</v>
      </c>
      <c r="AM9" s="332">
        <f t="shared" si="3"/>
        <v>104673</v>
      </c>
      <c r="AN9" s="332">
        <f t="shared" si="3"/>
        <v>102882</v>
      </c>
      <c r="AO9" s="332">
        <f t="shared" si="3"/>
        <v>110486</v>
      </c>
      <c r="AP9" s="332">
        <f t="shared" si="0"/>
        <v>99568</v>
      </c>
      <c r="AQ9" s="332">
        <v>94516</v>
      </c>
      <c r="AS9" s="164"/>
    </row>
    <row r="10" spans="1:45" s="9" customFormat="1">
      <c r="B10" s="462"/>
      <c r="D10" s="282" t="s">
        <v>3</v>
      </c>
      <c r="E10" s="331">
        <v>-53439</v>
      </c>
      <c r="F10" s="331">
        <v>-28202</v>
      </c>
      <c r="G10" s="331">
        <v>-30618</v>
      </c>
      <c r="H10" s="331">
        <v>-39793</v>
      </c>
      <c r="I10" s="331">
        <v>-43377</v>
      </c>
      <c r="J10" s="331"/>
      <c r="K10" s="331">
        <v>-45595</v>
      </c>
      <c r="L10" s="331">
        <v>-62278.712646177039</v>
      </c>
      <c r="M10" s="331">
        <v>-55169</v>
      </c>
      <c r="N10" s="331">
        <v>-42343</v>
      </c>
      <c r="O10" s="331">
        <v>-36675</v>
      </c>
      <c r="P10" s="331">
        <v>-42731</v>
      </c>
      <c r="Q10" s="331">
        <v>-38925</v>
      </c>
      <c r="R10" s="331">
        <v>-35482</v>
      </c>
      <c r="S10" s="322"/>
      <c r="T10" s="331">
        <v>-14894</v>
      </c>
      <c r="U10" s="331">
        <v>-15724</v>
      </c>
      <c r="V10" s="331">
        <v>-21636</v>
      </c>
      <c r="W10" s="331">
        <v>-18157</v>
      </c>
      <c r="X10" s="331">
        <v>-20808</v>
      </c>
      <c r="Y10" s="331">
        <v>-22569</v>
      </c>
      <c r="Z10" s="331"/>
      <c r="AA10" s="331">
        <v>-18312</v>
      </c>
      <c r="AB10" s="331">
        <v>-27283</v>
      </c>
      <c r="AC10" s="331">
        <v>-26841.842754125315</v>
      </c>
      <c r="AD10" s="331">
        <v>-35436.86989205172</v>
      </c>
      <c r="AE10" s="331">
        <v>-26536</v>
      </c>
      <c r="AF10" s="331">
        <v>-28633</v>
      </c>
      <c r="AG10" s="331">
        <v>-21384</v>
      </c>
      <c r="AH10" s="331">
        <v>-20959</v>
      </c>
      <c r="AI10" s="331">
        <v>-19415</v>
      </c>
      <c r="AJ10" s="331">
        <v>-17260</v>
      </c>
      <c r="AK10" s="331">
        <v>-22584</v>
      </c>
      <c r="AL10" s="331">
        <v>-20147</v>
      </c>
      <c r="AM10" s="331">
        <v>-21058</v>
      </c>
      <c r="AN10" s="331">
        <v>-17867</v>
      </c>
      <c r="AO10" s="331">
        <v>-19100</v>
      </c>
      <c r="AP10" s="331">
        <f>R10-AO10</f>
        <v>-16382</v>
      </c>
      <c r="AQ10" s="331">
        <v>-15005</v>
      </c>
      <c r="AS10" s="164"/>
    </row>
    <row r="11" spans="1:45" s="9" customFormat="1">
      <c r="B11" s="462"/>
      <c r="D11" s="306" t="s">
        <v>767</v>
      </c>
      <c r="E11" s="398">
        <v>0</v>
      </c>
      <c r="F11" s="398">
        <v>0</v>
      </c>
      <c r="G11" s="398">
        <v>0</v>
      </c>
      <c r="H11" s="398">
        <v>0</v>
      </c>
      <c r="I11" s="398">
        <v>0</v>
      </c>
      <c r="J11" s="398">
        <v>0</v>
      </c>
      <c r="K11" s="398">
        <v>0</v>
      </c>
      <c r="L11" s="398">
        <v>0</v>
      </c>
      <c r="M11" s="398">
        <v>0</v>
      </c>
      <c r="N11" s="398">
        <v>0</v>
      </c>
      <c r="O11" s="398">
        <v>0</v>
      </c>
      <c r="P11" s="398">
        <v>0</v>
      </c>
      <c r="Q11" s="398">
        <v>0</v>
      </c>
      <c r="R11" s="330">
        <v>1773</v>
      </c>
      <c r="S11" s="331"/>
      <c r="T11" s="364">
        <v>0</v>
      </c>
      <c r="U11" s="364">
        <v>0</v>
      </c>
      <c r="V11" s="364">
        <v>0</v>
      </c>
      <c r="W11" s="364">
        <v>0</v>
      </c>
      <c r="X11" s="364">
        <v>0</v>
      </c>
      <c r="Y11" s="364">
        <v>0</v>
      </c>
      <c r="Z11" s="364">
        <v>0</v>
      </c>
      <c r="AA11" s="364">
        <v>0</v>
      </c>
      <c r="AB11" s="364">
        <v>0</v>
      </c>
      <c r="AC11" s="364">
        <v>0</v>
      </c>
      <c r="AD11" s="364">
        <v>0</v>
      </c>
      <c r="AE11" s="364">
        <v>0</v>
      </c>
      <c r="AF11" s="364">
        <v>0</v>
      </c>
      <c r="AG11" s="364">
        <v>0</v>
      </c>
      <c r="AH11" s="364">
        <v>0</v>
      </c>
      <c r="AI11" s="364">
        <v>0</v>
      </c>
      <c r="AJ11" s="364">
        <v>0</v>
      </c>
      <c r="AK11" s="364">
        <v>0</v>
      </c>
      <c r="AL11" s="364">
        <v>0</v>
      </c>
      <c r="AM11" s="364">
        <v>0</v>
      </c>
      <c r="AN11" s="364">
        <v>0</v>
      </c>
      <c r="AO11" s="364">
        <v>0</v>
      </c>
      <c r="AP11" s="330">
        <f t="shared" si="0"/>
        <v>1773</v>
      </c>
      <c r="AQ11" s="330">
        <v>650</v>
      </c>
      <c r="AS11" s="164"/>
    </row>
    <row r="12" spans="1:45" s="26" customFormat="1" ht="24">
      <c r="B12" s="462"/>
      <c r="D12" s="306" t="s">
        <v>4</v>
      </c>
      <c r="E12" s="398">
        <v>0</v>
      </c>
      <c r="F12" s="398">
        <v>0</v>
      </c>
      <c r="G12" s="398">
        <v>0</v>
      </c>
      <c r="H12" s="398">
        <v>0</v>
      </c>
      <c r="I12" s="398">
        <v>0</v>
      </c>
      <c r="J12" s="330"/>
      <c r="K12" s="330">
        <v>16880</v>
      </c>
      <c r="L12" s="330">
        <v>16879.803383170016</v>
      </c>
      <c r="M12" s="330">
        <v>-7653</v>
      </c>
      <c r="N12" s="330">
        <v>3812</v>
      </c>
      <c r="O12" s="330">
        <v>-40423</v>
      </c>
      <c r="P12" s="330">
        <v>-73267</v>
      </c>
      <c r="Q12" s="330">
        <v>-12425</v>
      </c>
      <c r="R12" s="330">
        <v>1920</v>
      </c>
      <c r="S12" s="331"/>
      <c r="T12" s="364">
        <v>0</v>
      </c>
      <c r="U12" s="364">
        <v>0</v>
      </c>
      <c r="V12" s="364">
        <v>0</v>
      </c>
      <c r="W12" s="364">
        <v>0</v>
      </c>
      <c r="X12" s="364">
        <v>0</v>
      </c>
      <c r="Y12" s="364">
        <v>0</v>
      </c>
      <c r="Z12" s="330"/>
      <c r="AA12" s="330">
        <v>6311</v>
      </c>
      <c r="AB12" s="330">
        <v>10569</v>
      </c>
      <c r="AC12" s="330">
        <v>6310.9932471401462</v>
      </c>
      <c r="AD12" s="330">
        <v>10568.81013602987</v>
      </c>
      <c r="AE12" s="330">
        <v>-9081</v>
      </c>
      <c r="AF12" s="330">
        <v>1428</v>
      </c>
      <c r="AG12" s="330">
        <v>4541</v>
      </c>
      <c r="AH12" s="330">
        <v>-729</v>
      </c>
      <c r="AI12" s="330">
        <v>2241</v>
      </c>
      <c r="AJ12" s="330">
        <v>-42664</v>
      </c>
      <c r="AK12" s="330">
        <v>-10112</v>
      </c>
      <c r="AL12" s="330">
        <v>-63155</v>
      </c>
      <c r="AM12" s="330">
        <v>1705</v>
      </c>
      <c r="AN12" s="330">
        <v>-14130</v>
      </c>
      <c r="AO12" s="330">
        <v>2879</v>
      </c>
      <c r="AP12" s="330">
        <f t="shared" si="0"/>
        <v>-959</v>
      </c>
      <c r="AQ12" s="330">
        <v>-1401</v>
      </c>
      <c r="AS12" s="164"/>
    </row>
    <row r="13" spans="1:45" s="9" customFormat="1">
      <c r="A13" s="6"/>
      <c r="B13" s="462"/>
      <c r="D13" s="282" t="s">
        <v>5</v>
      </c>
      <c r="E13" s="331">
        <v>17045</v>
      </c>
      <c r="F13" s="331">
        <v>3220</v>
      </c>
      <c r="G13" s="331">
        <v>3641</v>
      </c>
      <c r="H13" s="331">
        <v>2065</v>
      </c>
      <c r="I13" s="331">
        <v>-1387.1886142502865</v>
      </c>
      <c r="J13" s="331"/>
      <c r="K13" s="331">
        <v>2801</v>
      </c>
      <c r="L13" s="331">
        <v>7578.8555768597116</v>
      </c>
      <c r="M13" s="331">
        <v>10539</v>
      </c>
      <c r="N13" s="331">
        <v>-6039</v>
      </c>
      <c r="O13" s="331">
        <v>-68757</v>
      </c>
      <c r="P13" s="331">
        <v>-71329</v>
      </c>
      <c r="Q13" s="331">
        <v>-24561</v>
      </c>
      <c r="R13" s="331">
        <v>-33426</v>
      </c>
      <c r="S13" s="322"/>
      <c r="T13" s="331">
        <v>2127</v>
      </c>
      <c r="U13" s="335">
        <v>1514</v>
      </c>
      <c r="V13" s="331">
        <v>1260</v>
      </c>
      <c r="W13" s="335">
        <v>805</v>
      </c>
      <c r="X13" s="331">
        <v>-1289</v>
      </c>
      <c r="Y13" s="335">
        <v>-98.188614250286491</v>
      </c>
      <c r="Z13" s="331"/>
      <c r="AA13" s="331">
        <v>2893</v>
      </c>
      <c r="AB13" s="335">
        <v>-92</v>
      </c>
      <c r="AC13" s="331">
        <v>6255.7830385090956</v>
      </c>
      <c r="AD13" s="331">
        <v>1323.072538350616</v>
      </c>
      <c r="AE13" s="331">
        <v>-1455</v>
      </c>
      <c r="AF13" s="335">
        <v>11994</v>
      </c>
      <c r="AG13" s="331">
        <v>-7014</v>
      </c>
      <c r="AH13" s="335">
        <v>975</v>
      </c>
      <c r="AI13" s="331">
        <v>-31265</v>
      </c>
      <c r="AJ13" s="335">
        <v>-37492</v>
      </c>
      <c r="AK13" s="331">
        <v>-35764</v>
      </c>
      <c r="AL13" s="331">
        <v>-35565</v>
      </c>
      <c r="AM13" s="331">
        <v>4845</v>
      </c>
      <c r="AN13" s="331">
        <v>-29406</v>
      </c>
      <c r="AO13" s="331">
        <f>-34616</f>
        <v>-34616</v>
      </c>
      <c r="AP13" s="331">
        <f t="shared" si="0"/>
        <v>1190</v>
      </c>
      <c r="AQ13" s="331">
        <v>-14</v>
      </c>
      <c r="AS13" s="164"/>
    </row>
    <row r="14" spans="1:45" s="17" customFormat="1">
      <c r="A14" s="6"/>
      <c r="B14" s="462"/>
      <c r="D14" s="283" t="s">
        <v>6</v>
      </c>
      <c r="E14" s="332">
        <f>SUM(E9:E13)</f>
        <v>231650</v>
      </c>
      <c r="F14" s="332">
        <f>SUM(F9:F13)</f>
        <v>89139</v>
      </c>
      <c r="G14" s="332">
        <f>SUM(G9:G13)</f>
        <v>156951</v>
      </c>
      <c r="H14" s="332">
        <f>SUM(H9:H13)</f>
        <v>225985</v>
      </c>
      <c r="I14" s="332">
        <v>157258</v>
      </c>
      <c r="J14" s="332"/>
      <c r="K14" s="332">
        <f t="shared" ref="K14:Q14" si="4">SUM(K9:K13)</f>
        <v>169351</v>
      </c>
      <c r="L14" s="332">
        <f>SUM(L9:L13)</f>
        <v>265999.26574801636</v>
      </c>
      <c r="M14" s="332">
        <f t="shared" si="4"/>
        <v>278623</v>
      </c>
      <c r="N14" s="332">
        <f t="shared" si="4"/>
        <v>184755</v>
      </c>
      <c r="O14" s="332">
        <f t="shared" si="4"/>
        <v>-451</v>
      </c>
      <c r="P14" s="332">
        <f t="shared" si="4"/>
        <v>-5333</v>
      </c>
      <c r="Q14" s="332">
        <f t="shared" si="4"/>
        <v>131644</v>
      </c>
      <c r="R14" s="332">
        <f>SUM(R9:R13)</f>
        <v>144839</v>
      </c>
      <c r="S14" s="324"/>
      <c r="T14" s="332">
        <f t="shared" ref="T14:Y14" si="5">SUM(T9:T13)</f>
        <v>54522</v>
      </c>
      <c r="U14" s="332">
        <f t="shared" si="5"/>
        <v>102429</v>
      </c>
      <c r="V14" s="332">
        <f t="shared" si="5"/>
        <v>116041</v>
      </c>
      <c r="W14" s="332">
        <f t="shared" si="5"/>
        <v>109944</v>
      </c>
      <c r="X14" s="332">
        <f t="shared" si="5"/>
        <v>111242</v>
      </c>
      <c r="Y14" s="332">
        <f t="shared" si="5"/>
        <v>46015.385947543771</v>
      </c>
      <c r="Z14" s="332"/>
      <c r="AA14" s="332">
        <f t="shared" ref="AA14:AO14" si="6">SUM(AA9:AA13)</f>
        <v>89700</v>
      </c>
      <c r="AB14" s="332">
        <f t="shared" si="6"/>
        <v>79651</v>
      </c>
      <c r="AC14" s="332">
        <f>SUM(AC9:AC13)</f>
        <v>143888.23493739776</v>
      </c>
      <c r="AD14" s="332">
        <f>SUM(AD9:AD13)</f>
        <v>122111.03081061864</v>
      </c>
      <c r="AE14" s="332">
        <f t="shared" si="6"/>
        <v>126018</v>
      </c>
      <c r="AF14" s="332">
        <f t="shared" si="6"/>
        <v>152605</v>
      </c>
      <c r="AG14" s="332">
        <f t="shared" si="6"/>
        <v>74200</v>
      </c>
      <c r="AH14" s="332">
        <f t="shared" si="6"/>
        <v>110555</v>
      </c>
      <c r="AI14" s="332">
        <f t="shared" si="6"/>
        <v>60211</v>
      </c>
      <c r="AJ14" s="332">
        <f t="shared" si="6"/>
        <v>-60662</v>
      </c>
      <c r="AK14" s="332">
        <f t="shared" si="6"/>
        <v>14082</v>
      </c>
      <c r="AL14" s="332">
        <f t="shared" si="6"/>
        <v>-19415</v>
      </c>
      <c r="AM14" s="332">
        <f t="shared" si="6"/>
        <v>90165</v>
      </c>
      <c r="AN14" s="332">
        <f t="shared" si="6"/>
        <v>41479</v>
      </c>
      <c r="AO14" s="332">
        <f t="shared" si="6"/>
        <v>59649</v>
      </c>
      <c r="AP14" s="332">
        <f t="shared" si="0"/>
        <v>85190</v>
      </c>
      <c r="AQ14" s="332">
        <f>SUM(AQ9:AQ13)</f>
        <v>78746</v>
      </c>
      <c r="AS14" s="164"/>
    </row>
    <row r="15" spans="1:45" s="9" customFormat="1">
      <c r="B15" s="462"/>
      <c r="D15" s="282" t="s">
        <v>651</v>
      </c>
      <c r="E15" s="331">
        <v>11689</v>
      </c>
      <c r="F15" s="331">
        <v>12145</v>
      </c>
      <c r="G15" s="331">
        <v>98</v>
      </c>
      <c r="H15" s="331">
        <v>-96</v>
      </c>
      <c r="I15" s="331">
        <v>-641</v>
      </c>
      <c r="J15" s="331"/>
      <c r="K15" s="331">
        <v>4350</v>
      </c>
      <c r="L15" s="345" t="s">
        <v>694</v>
      </c>
      <c r="M15" s="331">
        <v>1276</v>
      </c>
      <c r="N15" s="331">
        <v>1560</v>
      </c>
      <c r="O15" s="331">
        <v>1367</v>
      </c>
      <c r="P15" s="331">
        <v>2048</v>
      </c>
      <c r="Q15" s="331">
        <v>2561</v>
      </c>
      <c r="R15" s="331">
        <v>2524</v>
      </c>
      <c r="S15" s="322"/>
      <c r="T15" s="331">
        <v>263</v>
      </c>
      <c r="U15" s="331">
        <v>-165</v>
      </c>
      <c r="V15" s="331">
        <v>596</v>
      </c>
      <c r="W15" s="331">
        <v>-692</v>
      </c>
      <c r="X15" s="331">
        <v>2985</v>
      </c>
      <c r="Y15" s="331">
        <v>-3626</v>
      </c>
      <c r="Z15" s="331"/>
      <c r="AA15" s="346">
        <v>1975</v>
      </c>
      <c r="AB15" s="331">
        <f>K15-AA15</f>
        <v>2375</v>
      </c>
      <c r="AC15" s="345" t="s">
        <v>694</v>
      </c>
      <c r="AD15" s="345" t="s">
        <v>694</v>
      </c>
      <c r="AE15" s="331">
        <v>687</v>
      </c>
      <c r="AF15" s="331">
        <v>589</v>
      </c>
      <c r="AG15" s="331">
        <v>915</v>
      </c>
      <c r="AH15" s="331">
        <v>645</v>
      </c>
      <c r="AI15" s="331">
        <v>517</v>
      </c>
      <c r="AJ15" s="331">
        <v>850</v>
      </c>
      <c r="AK15" s="331">
        <v>808</v>
      </c>
      <c r="AL15" s="331">
        <v>1240</v>
      </c>
      <c r="AM15" s="331">
        <v>1237</v>
      </c>
      <c r="AN15" s="331">
        <v>1324</v>
      </c>
      <c r="AO15" s="331">
        <v>1282</v>
      </c>
      <c r="AP15" s="331">
        <f t="shared" si="0"/>
        <v>1242</v>
      </c>
      <c r="AQ15" s="331">
        <v>1021</v>
      </c>
      <c r="AS15" s="164"/>
    </row>
    <row r="16" spans="1:45" s="9" customFormat="1">
      <c r="B16" s="462"/>
      <c r="D16" s="37" t="s">
        <v>652</v>
      </c>
      <c r="E16" s="330">
        <v>-46111</v>
      </c>
      <c r="F16" s="330">
        <v>-24147</v>
      </c>
      <c r="G16" s="330">
        <v>-14893</v>
      </c>
      <c r="H16" s="330">
        <v>-29983</v>
      </c>
      <c r="I16" s="330">
        <v>-3019</v>
      </c>
      <c r="J16" s="330"/>
      <c r="K16" s="330">
        <v>-15455</v>
      </c>
      <c r="L16" s="345" t="s">
        <v>694</v>
      </c>
      <c r="M16" s="330">
        <v>-90481</v>
      </c>
      <c r="N16" s="330">
        <v>-60146</v>
      </c>
      <c r="O16" s="330">
        <v>-98064</v>
      </c>
      <c r="P16" s="330">
        <v>-90879</v>
      </c>
      <c r="Q16" s="330">
        <v>-85148</v>
      </c>
      <c r="R16" s="330">
        <v>-85234</v>
      </c>
      <c r="S16" s="322"/>
      <c r="T16" s="330">
        <v>-6217</v>
      </c>
      <c r="U16" s="330">
        <v>-8676</v>
      </c>
      <c r="V16" s="330">
        <v>2173</v>
      </c>
      <c r="W16" s="330">
        <v>-32156</v>
      </c>
      <c r="X16" s="330">
        <v>-13046</v>
      </c>
      <c r="Y16" s="330">
        <v>10027</v>
      </c>
      <c r="Z16" s="330"/>
      <c r="AA16" s="330">
        <v>-7874</v>
      </c>
      <c r="AB16" s="330">
        <f>K16-AA16</f>
        <v>-7581</v>
      </c>
      <c r="AC16" s="345" t="s">
        <v>694</v>
      </c>
      <c r="AD16" s="345" t="s">
        <v>694</v>
      </c>
      <c r="AE16" s="330">
        <v>-42587</v>
      </c>
      <c r="AF16" s="330">
        <v>-47894</v>
      </c>
      <c r="AG16" s="330">
        <v>-36059</v>
      </c>
      <c r="AH16" s="330">
        <v>-24087</v>
      </c>
      <c r="AI16" s="330">
        <v>-44987</v>
      </c>
      <c r="AJ16" s="330">
        <v>-53077</v>
      </c>
      <c r="AK16" s="330">
        <v>-45842</v>
      </c>
      <c r="AL16" s="330">
        <v>-45037</v>
      </c>
      <c r="AM16" s="330">
        <v>-43887</v>
      </c>
      <c r="AN16" s="330">
        <v>-41261</v>
      </c>
      <c r="AO16" s="330">
        <v>-39180</v>
      </c>
      <c r="AP16" s="330">
        <f t="shared" si="0"/>
        <v>-46054</v>
      </c>
      <c r="AQ16" s="330">
        <v>-36831</v>
      </c>
      <c r="AS16" s="164"/>
    </row>
    <row r="17" spans="1:45" s="9" customFormat="1">
      <c r="B17" s="462"/>
      <c r="D17" s="37" t="s">
        <v>7</v>
      </c>
      <c r="E17" s="398">
        <v>0</v>
      </c>
      <c r="F17" s="398">
        <v>0</v>
      </c>
      <c r="G17" s="398">
        <v>0</v>
      </c>
      <c r="H17" s="398">
        <v>0</v>
      </c>
      <c r="I17" s="398">
        <v>0</v>
      </c>
      <c r="J17" s="398"/>
      <c r="K17" s="398">
        <v>0</v>
      </c>
      <c r="L17" s="345">
        <v>0</v>
      </c>
      <c r="M17" s="345">
        <v>0</v>
      </c>
      <c r="N17" s="330">
        <v>-5488</v>
      </c>
      <c r="O17" s="330">
        <v>64432</v>
      </c>
      <c r="P17" s="330">
        <v>42089</v>
      </c>
      <c r="Q17" s="330">
        <v>-27509</v>
      </c>
      <c r="R17" s="330">
        <v>-9340</v>
      </c>
      <c r="S17" s="322"/>
      <c r="T17" s="364">
        <v>0</v>
      </c>
      <c r="U17" s="364">
        <v>0</v>
      </c>
      <c r="V17" s="364">
        <v>0</v>
      </c>
      <c r="W17" s="364">
        <v>0</v>
      </c>
      <c r="X17" s="364">
        <v>0</v>
      </c>
      <c r="Y17" s="364">
        <v>0</v>
      </c>
      <c r="Z17" s="364"/>
      <c r="AA17" s="364">
        <v>0</v>
      </c>
      <c r="AB17" s="364">
        <v>0</v>
      </c>
      <c r="AC17" s="345">
        <v>0</v>
      </c>
      <c r="AD17" s="345">
        <v>0</v>
      </c>
      <c r="AE17" s="330"/>
      <c r="AF17" s="330">
        <v>0</v>
      </c>
      <c r="AG17" s="330" t="s">
        <v>656</v>
      </c>
      <c r="AH17" s="330">
        <v>-5488</v>
      </c>
      <c r="AI17" s="330">
        <v>30209</v>
      </c>
      <c r="AJ17" s="330">
        <v>34223</v>
      </c>
      <c r="AK17" s="330">
        <v>18906</v>
      </c>
      <c r="AL17" s="330">
        <v>23183</v>
      </c>
      <c r="AM17" s="330">
        <v>-8745</v>
      </c>
      <c r="AN17" s="330">
        <v>-18764</v>
      </c>
      <c r="AO17" s="330">
        <f>-496</f>
        <v>-496</v>
      </c>
      <c r="AP17" s="330">
        <f t="shared" si="0"/>
        <v>-8844</v>
      </c>
      <c r="AQ17" s="330">
        <v>15951</v>
      </c>
      <c r="AS17" s="164"/>
    </row>
    <row r="18" spans="1:45" s="9" customFormat="1">
      <c r="A18" s="6"/>
      <c r="B18" s="462"/>
      <c r="D18" s="282" t="s">
        <v>8</v>
      </c>
      <c r="E18" s="398" t="s">
        <v>694</v>
      </c>
      <c r="F18" s="398" t="s">
        <v>694</v>
      </c>
      <c r="G18" s="398" t="s">
        <v>694</v>
      </c>
      <c r="H18" s="398" t="s">
        <v>694</v>
      </c>
      <c r="I18" s="398" t="s">
        <v>694</v>
      </c>
      <c r="J18" s="331"/>
      <c r="K18" s="331">
        <v>-8766</v>
      </c>
      <c r="L18" s="345" t="s">
        <v>694</v>
      </c>
      <c r="M18" s="331">
        <v>-418543</v>
      </c>
      <c r="N18" s="331">
        <v>-150995</v>
      </c>
      <c r="O18" s="331">
        <v>142572</v>
      </c>
      <c r="P18" s="331">
        <v>27944</v>
      </c>
      <c r="Q18" s="331">
        <v>-75185</v>
      </c>
      <c r="R18" s="331">
        <v>43846</v>
      </c>
      <c r="S18" s="322"/>
      <c r="T18" s="345" t="s">
        <v>694</v>
      </c>
      <c r="U18" s="345" t="s">
        <v>694</v>
      </c>
      <c r="V18" s="345" t="s">
        <v>694</v>
      </c>
      <c r="W18" s="345" t="s">
        <v>694</v>
      </c>
      <c r="X18" s="345" t="s">
        <v>694</v>
      </c>
      <c r="Y18" s="345" t="s">
        <v>694</v>
      </c>
      <c r="Z18" s="331"/>
      <c r="AA18" s="331">
        <v>-10653</v>
      </c>
      <c r="AB18" s="331">
        <v>1887</v>
      </c>
      <c r="AC18" s="345" t="s">
        <v>694</v>
      </c>
      <c r="AD18" s="345" t="s">
        <v>694</v>
      </c>
      <c r="AE18" s="335">
        <v>11923</v>
      </c>
      <c r="AF18" s="335">
        <v>-430466</v>
      </c>
      <c r="AG18" s="331">
        <v>6146</v>
      </c>
      <c r="AH18" s="335">
        <v>-157141</v>
      </c>
      <c r="AI18" s="331">
        <v>106910</v>
      </c>
      <c r="AJ18" s="335">
        <v>35662</v>
      </c>
      <c r="AK18" s="331">
        <v>15081</v>
      </c>
      <c r="AL18" s="331">
        <v>12863</v>
      </c>
      <c r="AM18" s="331">
        <v>-38952</v>
      </c>
      <c r="AN18" s="331">
        <v>-36233</v>
      </c>
      <c r="AO18" s="331">
        <v>34504</v>
      </c>
      <c r="AP18" s="331">
        <f t="shared" si="0"/>
        <v>9342</v>
      </c>
      <c r="AQ18" s="331">
        <v>-29811</v>
      </c>
      <c r="AS18" s="164"/>
    </row>
    <row r="19" spans="1:45" s="17" customFormat="1">
      <c r="A19" s="6"/>
      <c r="B19" s="462"/>
      <c r="D19" s="283" t="s">
        <v>9</v>
      </c>
      <c r="E19" s="332">
        <f t="shared" ref="E19:Q19" si="7">SUM(E15:E18)</f>
        <v>-34422</v>
      </c>
      <c r="F19" s="332">
        <f t="shared" si="7"/>
        <v>-12002</v>
      </c>
      <c r="G19" s="332">
        <f t="shared" si="7"/>
        <v>-14795</v>
      </c>
      <c r="H19" s="332">
        <f t="shared" si="7"/>
        <v>-30079</v>
      </c>
      <c r="I19" s="332">
        <f t="shared" si="7"/>
        <v>-3660</v>
      </c>
      <c r="J19" s="332"/>
      <c r="K19" s="332">
        <f t="shared" si="7"/>
        <v>-19871</v>
      </c>
      <c r="L19" s="332">
        <v>-121928.68551079676</v>
      </c>
      <c r="M19" s="332">
        <f t="shared" si="7"/>
        <v>-507748</v>
      </c>
      <c r="N19" s="332">
        <f t="shared" si="7"/>
        <v>-215069</v>
      </c>
      <c r="O19" s="332">
        <f t="shared" si="7"/>
        <v>110307</v>
      </c>
      <c r="P19" s="332">
        <f t="shared" si="7"/>
        <v>-18798</v>
      </c>
      <c r="Q19" s="332">
        <f t="shared" si="7"/>
        <v>-185281</v>
      </c>
      <c r="R19" s="332">
        <f>SUM(R15:R18)</f>
        <v>-48204</v>
      </c>
      <c r="S19" s="324"/>
      <c r="T19" s="332">
        <f t="shared" ref="T19:AB19" si="8">SUM(T15:T18)</f>
        <v>-5954</v>
      </c>
      <c r="U19" s="332">
        <f t="shared" si="8"/>
        <v>-8841</v>
      </c>
      <c r="V19" s="332">
        <f t="shared" si="8"/>
        <v>2769</v>
      </c>
      <c r="W19" s="332">
        <f t="shared" si="8"/>
        <v>-32848</v>
      </c>
      <c r="X19" s="332">
        <f t="shared" si="8"/>
        <v>-10061</v>
      </c>
      <c r="Y19" s="332">
        <f t="shared" si="8"/>
        <v>6401</v>
      </c>
      <c r="Z19" s="332"/>
      <c r="AA19" s="332">
        <f t="shared" si="8"/>
        <v>-16552</v>
      </c>
      <c r="AB19" s="332">
        <f t="shared" si="8"/>
        <v>-3319</v>
      </c>
      <c r="AC19" s="332">
        <v>-83270.43117792574</v>
      </c>
      <c r="AD19" s="332">
        <f>L19-AC19</f>
        <v>-38658.254332871016</v>
      </c>
      <c r="AE19" s="332">
        <f t="shared" ref="AE19:AO19" si="9">SUM(AE15:AE18)</f>
        <v>-29977</v>
      </c>
      <c r="AF19" s="332">
        <f t="shared" si="9"/>
        <v>-477771</v>
      </c>
      <c r="AG19" s="332">
        <f t="shared" si="9"/>
        <v>-28998</v>
      </c>
      <c r="AH19" s="332">
        <f t="shared" si="9"/>
        <v>-186071</v>
      </c>
      <c r="AI19" s="332">
        <f t="shared" si="9"/>
        <v>92649</v>
      </c>
      <c r="AJ19" s="332">
        <f t="shared" si="9"/>
        <v>17658</v>
      </c>
      <c r="AK19" s="332">
        <f t="shared" si="9"/>
        <v>-11047</v>
      </c>
      <c r="AL19" s="332">
        <f t="shared" si="9"/>
        <v>-7751</v>
      </c>
      <c r="AM19" s="332">
        <f t="shared" si="9"/>
        <v>-90347</v>
      </c>
      <c r="AN19" s="332">
        <f t="shared" si="9"/>
        <v>-94934</v>
      </c>
      <c r="AO19" s="332">
        <f t="shared" si="9"/>
        <v>-3890</v>
      </c>
      <c r="AP19" s="332">
        <f t="shared" si="0"/>
        <v>-44314</v>
      </c>
      <c r="AQ19" s="332">
        <v>-49670</v>
      </c>
      <c r="AS19" s="164"/>
    </row>
    <row r="20" spans="1:45" s="9" customFormat="1">
      <c r="B20" s="462"/>
      <c r="D20" s="321" t="s">
        <v>10</v>
      </c>
      <c r="E20" s="333">
        <v>197228</v>
      </c>
      <c r="F20" s="333">
        <v>77137</v>
      </c>
      <c r="G20" s="333">
        <v>142156</v>
      </c>
      <c r="H20" s="333">
        <v>195906</v>
      </c>
      <c r="I20" s="333">
        <v>153597.38594754378</v>
      </c>
      <c r="J20" s="333"/>
      <c r="K20" s="333">
        <v>149480</v>
      </c>
      <c r="L20" s="333">
        <v>144070.5802372196</v>
      </c>
      <c r="M20" s="333">
        <v>-229125</v>
      </c>
      <c r="N20" s="333">
        <v>-30314</v>
      </c>
      <c r="O20" s="333">
        <v>109856</v>
      </c>
      <c r="P20" s="333">
        <v>-24131</v>
      </c>
      <c r="Q20" s="333">
        <v>-53637</v>
      </c>
      <c r="R20" s="333">
        <f>R14+R19</f>
        <v>96635</v>
      </c>
      <c r="S20" s="324"/>
      <c r="T20" s="333">
        <f t="shared" ref="T20:AN20" si="10">T14+T19</f>
        <v>48568</v>
      </c>
      <c r="U20" s="333">
        <f t="shared" si="10"/>
        <v>93588</v>
      </c>
      <c r="V20" s="333">
        <f t="shared" si="10"/>
        <v>118810</v>
      </c>
      <c r="W20" s="333">
        <f t="shared" si="10"/>
        <v>77096</v>
      </c>
      <c r="X20" s="333">
        <f t="shared" si="10"/>
        <v>101181</v>
      </c>
      <c r="Y20" s="333">
        <f t="shared" si="10"/>
        <v>52416.385947543771</v>
      </c>
      <c r="Z20" s="333"/>
      <c r="AA20" s="333">
        <f t="shared" si="10"/>
        <v>73148</v>
      </c>
      <c r="AB20" s="333">
        <f>AB14+AB19</f>
        <v>76332</v>
      </c>
      <c r="AC20" s="333">
        <f>AC14+AC19</f>
        <v>60617.803759472023</v>
      </c>
      <c r="AD20" s="333">
        <f t="shared" si="10"/>
        <v>83452.776477747626</v>
      </c>
      <c r="AE20" s="333">
        <f t="shared" si="10"/>
        <v>96041</v>
      </c>
      <c r="AF20" s="333">
        <f t="shared" si="10"/>
        <v>-325166</v>
      </c>
      <c r="AG20" s="333">
        <f t="shared" si="10"/>
        <v>45202</v>
      </c>
      <c r="AH20" s="333">
        <f>AH14+AH19</f>
        <v>-75516</v>
      </c>
      <c r="AI20" s="333">
        <f t="shared" si="10"/>
        <v>152860</v>
      </c>
      <c r="AJ20" s="333">
        <f t="shared" si="10"/>
        <v>-43004</v>
      </c>
      <c r="AK20" s="333">
        <f t="shared" si="10"/>
        <v>3035</v>
      </c>
      <c r="AL20" s="333">
        <f t="shared" si="10"/>
        <v>-27166</v>
      </c>
      <c r="AM20" s="333">
        <f t="shared" si="10"/>
        <v>-182</v>
      </c>
      <c r="AN20" s="333">
        <f t="shared" si="10"/>
        <v>-53455</v>
      </c>
      <c r="AO20" s="333">
        <f>AO14+AO19</f>
        <v>55759</v>
      </c>
      <c r="AP20" s="333">
        <f t="shared" si="0"/>
        <v>40876</v>
      </c>
      <c r="AQ20" s="333">
        <v>29076</v>
      </c>
      <c r="AS20" s="164"/>
    </row>
    <row r="21" spans="1:45" s="9" customFormat="1">
      <c r="A21" s="6"/>
      <c r="B21" s="462"/>
      <c r="D21" s="282" t="s">
        <v>11</v>
      </c>
      <c r="E21" s="331">
        <v>-42717</v>
      </c>
      <c r="F21" s="331">
        <v>-8671</v>
      </c>
      <c r="G21" s="331">
        <v>-23160</v>
      </c>
      <c r="H21" s="331">
        <v>-48973</v>
      </c>
      <c r="I21" s="331">
        <v>-30124.493871678016</v>
      </c>
      <c r="J21" s="331"/>
      <c r="K21" s="331">
        <v>-35413</v>
      </c>
      <c r="L21" s="331">
        <v>-49416.237885840252</v>
      </c>
      <c r="M21" s="331">
        <v>31803</v>
      </c>
      <c r="N21" s="331">
        <v>-3365</v>
      </c>
      <c r="O21" s="331">
        <v>-48593</v>
      </c>
      <c r="P21" s="331">
        <v>-28816</v>
      </c>
      <c r="Q21" s="331">
        <v>-4692</v>
      </c>
      <c r="R21" s="331">
        <v>-28963</v>
      </c>
      <c r="S21" s="322"/>
      <c r="T21" s="331">
        <v>-7182</v>
      </c>
      <c r="U21" s="335">
        <v>-15978</v>
      </c>
      <c r="V21" s="331">
        <v>-36443</v>
      </c>
      <c r="W21" s="335">
        <v>-12530</v>
      </c>
      <c r="X21" s="331">
        <v>-28693</v>
      </c>
      <c r="Y21" s="335">
        <v>-1431.4938716780161</v>
      </c>
      <c r="Z21" s="331"/>
      <c r="AA21" s="331">
        <v>-19433</v>
      </c>
      <c r="AB21" s="335">
        <v>-15980</v>
      </c>
      <c r="AC21" s="331">
        <v>-21196.43668961302</v>
      </c>
      <c r="AD21" s="331">
        <v>-28219.801196227232</v>
      </c>
      <c r="AE21" s="331">
        <v>-29815</v>
      </c>
      <c r="AF21" s="335">
        <v>61618</v>
      </c>
      <c r="AG21" s="331">
        <v>-19768</v>
      </c>
      <c r="AH21" s="335">
        <v>16403</v>
      </c>
      <c r="AI21" s="331">
        <v>-39440</v>
      </c>
      <c r="AJ21" s="335">
        <v>-9153</v>
      </c>
      <c r="AK21" s="331">
        <v>-14914</v>
      </c>
      <c r="AL21" s="331">
        <v>-13902</v>
      </c>
      <c r="AM21" s="331">
        <v>-3092</v>
      </c>
      <c r="AN21" s="331">
        <v>-1600</v>
      </c>
      <c r="AO21" s="331">
        <v>-19544</v>
      </c>
      <c r="AP21" s="331">
        <f t="shared" si="0"/>
        <v>-9419</v>
      </c>
      <c r="AQ21" s="331">
        <v>-5233</v>
      </c>
      <c r="AS21" s="164"/>
    </row>
    <row r="22" spans="1:45" s="17" customFormat="1">
      <c r="A22" s="6"/>
      <c r="B22" s="462"/>
      <c r="D22" s="283" t="s">
        <v>12</v>
      </c>
      <c r="E22" s="332">
        <f t="shared" ref="E22:Q22" si="11">SUM(E20:E21)</f>
        <v>154511</v>
      </c>
      <c r="F22" s="332">
        <f t="shared" si="11"/>
        <v>68466</v>
      </c>
      <c r="G22" s="332">
        <f t="shared" si="11"/>
        <v>118996</v>
      </c>
      <c r="H22" s="332">
        <f t="shared" si="11"/>
        <v>146933</v>
      </c>
      <c r="I22" s="332">
        <v>123474</v>
      </c>
      <c r="J22" s="332"/>
      <c r="K22" s="332">
        <f t="shared" si="11"/>
        <v>114067</v>
      </c>
      <c r="L22" s="332">
        <f>SUM(L20:L21)</f>
        <v>94654.342351379353</v>
      </c>
      <c r="M22" s="332">
        <f t="shared" si="11"/>
        <v>-197322</v>
      </c>
      <c r="N22" s="332">
        <f t="shared" si="11"/>
        <v>-33679</v>
      </c>
      <c r="O22" s="332">
        <f t="shared" si="11"/>
        <v>61263</v>
      </c>
      <c r="P22" s="332">
        <f t="shared" si="11"/>
        <v>-52947</v>
      </c>
      <c r="Q22" s="332">
        <f t="shared" si="11"/>
        <v>-58329</v>
      </c>
      <c r="R22" s="332">
        <f>SUM(R20:R21)</f>
        <v>67672</v>
      </c>
      <c r="S22" s="324"/>
      <c r="T22" s="332">
        <f t="shared" ref="T22:AB22" si="12">SUM(T20:T21)</f>
        <v>41386</v>
      </c>
      <c r="U22" s="332">
        <f t="shared" si="12"/>
        <v>77610</v>
      </c>
      <c r="V22" s="332">
        <f t="shared" si="12"/>
        <v>82367</v>
      </c>
      <c r="W22" s="332">
        <f t="shared" si="12"/>
        <v>64566</v>
      </c>
      <c r="X22" s="332">
        <f t="shared" si="12"/>
        <v>72488</v>
      </c>
      <c r="Y22" s="332">
        <f t="shared" si="12"/>
        <v>50984.892075865755</v>
      </c>
      <c r="Z22" s="332"/>
      <c r="AA22" s="332">
        <f t="shared" si="12"/>
        <v>53715</v>
      </c>
      <c r="AB22" s="332">
        <f t="shared" si="12"/>
        <v>60352</v>
      </c>
      <c r="AC22" s="332">
        <f>SUM(AC20:AC21)</f>
        <v>39421.367069858999</v>
      </c>
      <c r="AD22" s="332">
        <f>SUM(AD20:AD21)</f>
        <v>55232.975281520397</v>
      </c>
      <c r="AE22" s="332">
        <f t="shared" ref="AE22:AN22" si="13">SUM(AE20:AE21)</f>
        <v>66226</v>
      </c>
      <c r="AF22" s="332">
        <f t="shared" si="13"/>
        <v>-263548</v>
      </c>
      <c r="AG22" s="332">
        <f t="shared" si="13"/>
        <v>25434</v>
      </c>
      <c r="AH22" s="332">
        <f t="shared" si="13"/>
        <v>-59113</v>
      </c>
      <c r="AI22" s="332">
        <f t="shared" si="13"/>
        <v>113420</v>
      </c>
      <c r="AJ22" s="332">
        <f t="shared" si="13"/>
        <v>-52157</v>
      </c>
      <c r="AK22" s="332">
        <f t="shared" si="13"/>
        <v>-11879</v>
      </c>
      <c r="AL22" s="332">
        <f t="shared" si="13"/>
        <v>-41068</v>
      </c>
      <c r="AM22" s="332">
        <f t="shared" si="13"/>
        <v>-3274</v>
      </c>
      <c r="AN22" s="332">
        <f t="shared" si="13"/>
        <v>-55055</v>
      </c>
      <c r="AO22" s="332">
        <f>SUM(AO20:AO21)</f>
        <v>36215</v>
      </c>
      <c r="AP22" s="332">
        <f t="shared" si="0"/>
        <v>31457</v>
      </c>
      <c r="AQ22" s="332">
        <v>23843</v>
      </c>
      <c r="AS22" s="164"/>
    </row>
    <row r="23" spans="1:45" s="9" customFormat="1">
      <c r="B23" s="462"/>
      <c r="D23" s="282" t="s">
        <v>13</v>
      </c>
      <c r="E23" s="331"/>
      <c r="F23" s="331"/>
      <c r="G23" s="331"/>
      <c r="H23" s="331"/>
      <c r="I23" s="331"/>
      <c r="J23" s="331"/>
      <c r="K23" s="331"/>
      <c r="L23" s="331"/>
      <c r="M23" s="331"/>
      <c r="N23" s="331"/>
      <c r="O23" s="331"/>
      <c r="P23" s="331"/>
      <c r="Q23" s="331"/>
      <c r="R23" s="331"/>
      <c r="S23" s="322"/>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S23" s="164"/>
    </row>
    <row r="24" spans="1:45" s="125" customFormat="1">
      <c r="B24" s="462"/>
      <c r="D24" s="36" t="s">
        <v>14</v>
      </c>
      <c r="E24" s="330">
        <v>122215</v>
      </c>
      <c r="F24" s="330">
        <v>65851</v>
      </c>
      <c r="G24" s="330">
        <v>109390</v>
      </c>
      <c r="H24" s="330">
        <v>134123</v>
      </c>
      <c r="I24" s="330">
        <v>107820.69630991641</v>
      </c>
      <c r="J24" s="330"/>
      <c r="K24" s="330">
        <v>114119.86724951085</v>
      </c>
      <c r="L24" s="330">
        <v>103615.2096008902</v>
      </c>
      <c r="M24" s="330">
        <v>-193140</v>
      </c>
      <c r="N24" s="330">
        <v>-25138</v>
      </c>
      <c r="O24" s="330">
        <v>61038</v>
      </c>
      <c r="P24" s="330">
        <v>-52973</v>
      </c>
      <c r="Q24" s="330">
        <v>-59279</v>
      </c>
      <c r="R24" s="330">
        <v>64807</v>
      </c>
      <c r="S24" s="322"/>
      <c r="T24" s="330">
        <v>38634</v>
      </c>
      <c r="U24" s="330">
        <v>70756</v>
      </c>
      <c r="V24" s="330">
        <v>76567</v>
      </c>
      <c r="W24" s="330">
        <v>57556</v>
      </c>
      <c r="X24" s="330">
        <v>64439</v>
      </c>
      <c r="Y24" s="330">
        <v>43381.696309916413</v>
      </c>
      <c r="Z24" s="330"/>
      <c r="AA24" s="330">
        <v>53742</v>
      </c>
      <c r="AB24" s="330">
        <v>60377.867249510848</v>
      </c>
      <c r="AC24" s="330">
        <v>44679.351146865614</v>
      </c>
      <c r="AD24" s="330">
        <v>58935.858454024587</v>
      </c>
      <c r="AE24" s="330">
        <v>69910</v>
      </c>
      <c r="AF24" s="330">
        <v>-263050</v>
      </c>
      <c r="AG24" s="330">
        <v>34744</v>
      </c>
      <c r="AH24" s="330">
        <v>-59882</v>
      </c>
      <c r="AI24" s="330">
        <v>113287</v>
      </c>
      <c r="AJ24" s="330">
        <v>-52249</v>
      </c>
      <c r="AK24" s="330">
        <v>-12052</v>
      </c>
      <c r="AL24" s="330">
        <v>-40921</v>
      </c>
      <c r="AM24" s="330">
        <v>-3751</v>
      </c>
      <c r="AN24" s="330">
        <v>-55528</v>
      </c>
      <c r="AO24" s="330">
        <v>35528</v>
      </c>
      <c r="AP24" s="330">
        <f t="shared" si="0"/>
        <v>29279</v>
      </c>
      <c r="AQ24" s="330">
        <v>22879</v>
      </c>
      <c r="AS24" s="164"/>
    </row>
    <row r="25" spans="1:45" s="9" customFormat="1">
      <c r="A25" s="6"/>
      <c r="B25" s="462"/>
      <c r="D25" s="284" t="s">
        <v>15</v>
      </c>
      <c r="E25" s="334">
        <v>32296</v>
      </c>
      <c r="F25" s="334">
        <v>2615</v>
      </c>
      <c r="G25" s="334">
        <v>9606</v>
      </c>
      <c r="H25" s="334">
        <v>12810</v>
      </c>
      <c r="I25" s="334">
        <v>15652.195765949344</v>
      </c>
      <c r="J25" s="334"/>
      <c r="K25" s="334">
        <v>-52.86724951085219</v>
      </c>
      <c r="L25" s="334">
        <v>-8960.8672495108531</v>
      </c>
      <c r="M25" s="334">
        <v>-4182</v>
      </c>
      <c r="N25" s="334">
        <v>-8541</v>
      </c>
      <c r="O25" s="334">
        <v>225</v>
      </c>
      <c r="P25" s="334">
        <v>26</v>
      </c>
      <c r="Q25" s="334">
        <v>950</v>
      </c>
      <c r="R25" s="334">
        <v>1092</v>
      </c>
      <c r="S25" s="322"/>
      <c r="T25" s="334">
        <v>2752</v>
      </c>
      <c r="U25" s="334">
        <v>6854</v>
      </c>
      <c r="V25" s="334">
        <v>5800</v>
      </c>
      <c r="W25" s="334">
        <v>7010</v>
      </c>
      <c r="X25" s="334">
        <v>8049</v>
      </c>
      <c r="Y25" s="334">
        <v>7603.1957659493437</v>
      </c>
      <c r="Z25" s="334"/>
      <c r="AA25" s="334">
        <v>-27</v>
      </c>
      <c r="AB25" s="334">
        <v>-25.86724951085219</v>
      </c>
      <c r="AC25" s="334">
        <v>-5257.9840770066048</v>
      </c>
      <c r="AD25" s="334">
        <v>-3702.8831725042483</v>
      </c>
      <c r="AE25" s="334">
        <v>-3684</v>
      </c>
      <c r="AF25" s="334">
        <v>-498</v>
      </c>
      <c r="AG25" s="334">
        <v>-9310</v>
      </c>
      <c r="AH25" s="334">
        <v>769</v>
      </c>
      <c r="AI25" s="334">
        <v>133</v>
      </c>
      <c r="AJ25" s="334">
        <v>92</v>
      </c>
      <c r="AK25" s="334">
        <v>173</v>
      </c>
      <c r="AL25" s="334">
        <v>-147</v>
      </c>
      <c r="AM25" s="334">
        <v>477</v>
      </c>
      <c r="AN25" s="334">
        <v>473</v>
      </c>
      <c r="AO25" s="334">
        <v>687</v>
      </c>
      <c r="AP25" s="334">
        <f t="shared" si="0"/>
        <v>405</v>
      </c>
      <c r="AQ25" s="334">
        <v>964</v>
      </c>
      <c r="AS25" s="164"/>
    </row>
    <row r="26" spans="1:45" s="9" customFormat="1">
      <c r="A26" s="6"/>
      <c r="B26" s="462"/>
      <c r="D26" s="285"/>
      <c r="E26" s="335"/>
      <c r="F26" s="335"/>
      <c r="G26" s="335"/>
      <c r="H26" s="335"/>
      <c r="I26" s="335"/>
      <c r="J26" s="335"/>
      <c r="K26" s="335"/>
      <c r="L26" s="335"/>
      <c r="M26" s="335"/>
      <c r="N26" s="335"/>
      <c r="O26" s="335"/>
      <c r="P26" s="335"/>
      <c r="Q26" s="335"/>
      <c r="R26" s="335"/>
      <c r="S26" s="322"/>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S26" s="164"/>
    </row>
    <row r="27" spans="1:45" s="329" customFormat="1" ht="38.25" customHeight="1">
      <c r="A27" s="72"/>
      <c r="B27" s="462"/>
      <c r="D27" s="286" t="s">
        <v>16</v>
      </c>
      <c r="E27" s="325">
        <v>0.27</v>
      </c>
      <c r="F27" s="325">
        <v>0.15</v>
      </c>
      <c r="G27" s="325">
        <v>0.24</v>
      </c>
      <c r="H27" s="325">
        <v>0.28999999999999998</v>
      </c>
      <c r="I27" s="325">
        <v>0.23</v>
      </c>
      <c r="J27" s="325"/>
      <c r="K27" s="325">
        <v>0.24434680851063831</v>
      </c>
      <c r="L27" s="325">
        <v>0.18</v>
      </c>
      <c r="M27" s="325">
        <v>-0.34</v>
      </c>
      <c r="N27" s="325">
        <v>-0.04</v>
      </c>
      <c r="O27" s="325">
        <v>0.10649177994001791</v>
      </c>
      <c r="P27" s="325">
        <v>-9.2420935462540849E-2</v>
      </c>
      <c r="Q27" s="325">
        <v>-0.10342288775949934</v>
      </c>
      <c r="R27" s="447">
        <v>0.12</v>
      </c>
      <c r="S27" s="432"/>
      <c r="T27" s="325">
        <v>0.09</v>
      </c>
      <c r="U27" s="325">
        <v>0.15</v>
      </c>
      <c r="V27" s="325">
        <v>0.17</v>
      </c>
      <c r="W27" s="325">
        <v>0.11999999999999997</v>
      </c>
      <c r="X27" s="325">
        <v>0.14000000000000001</v>
      </c>
      <c r="Y27" s="325">
        <v>0.09</v>
      </c>
      <c r="Z27" s="325"/>
      <c r="AA27" s="325">
        <v>0.11</v>
      </c>
      <c r="AB27" s="325">
        <v>0.13434680851063829</v>
      </c>
      <c r="AC27" s="325">
        <v>7.7951171896110616E-2</v>
      </c>
      <c r="AD27" s="325">
        <v>9.6363914439867651E-2</v>
      </c>
      <c r="AE27" s="325">
        <v>0.12197058120525986</v>
      </c>
      <c r="AF27" s="325">
        <v>-0.46197058120525991</v>
      </c>
      <c r="AG27" s="325">
        <v>6.0617163115370458E-2</v>
      </c>
      <c r="AH27" s="325">
        <v>-0.10061716311537046</v>
      </c>
      <c r="AI27" s="325">
        <v>0.19764956705764947</v>
      </c>
      <c r="AJ27" s="325">
        <v>-9.1157787117631561E-2</v>
      </c>
      <c r="AK27" s="325">
        <v>-2.1026883774650149E-2</v>
      </c>
      <c r="AL27" s="325">
        <v>-7.1394051687890703E-2</v>
      </c>
      <c r="AM27" s="325">
        <v>-6.5442948090534935E-3</v>
      </c>
      <c r="AN27" s="325">
        <v>-9.6878592950445847E-2</v>
      </c>
      <c r="AO27" s="325">
        <v>6.1580226494362067E-2</v>
      </c>
      <c r="AP27" s="325">
        <f t="shared" si="0"/>
        <v>5.8419773505637929E-2</v>
      </c>
      <c r="AQ27" s="325">
        <v>3.9916534507154058E-2</v>
      </c>
      <c r="AS27" s="164"/>
    </row>
    <row r="28" spans="1:45" s="9" customFormat="1">
      <c r="A28" s="6"/>
      <c r="D28" s="276"/>
      <c r="E28" s="337"/>
      <c r="F28" s="337"/>
      <c r="G28" s="337"/>
      <c r="H28" s="337"/>
      <c r="I28" s="337"/>
      <c r="J28" s="337"/>
      <c r="K28" s="337"/>
      <c r="L28" s="336"/>
      <c r="M28" s="336"/>
      <c r="N28" s="337"/>
      <c r="O28" s="337"/>
      <c r="P28" s="337"/>
      <c r="Q28" s="337"/>
      <c r="R28" s="337"/>
      <c r="S28" s="322"/>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S28" s="164"/>
    </row>
    <row r="29" spans="1:45" s="9" customFormat="1" ht="15.75">
      <c r="A29" s="6"/>
      <c r="D29" s="296" t="s">
        <v>755</v>
      </c>
      <c r="E29" s="337"/>
      <c r="F29" s="337"/>
      <c r="G29" s="337"/>
      <c r="H29" s="337"/>
      <c r="I29" s="337"/>
      <c r="J29" s="337"/>
      <c r="K29" s="337"/>
      <c r="L29" s="337"/>
      <c r="M29" s="337"/>
      <c r="N29" s="337"/>
      <c r="O29" s="337"/>
      <c r="P29" s="337"/>
      <c r="Q29" s="337"/>
      <c r="R29" s="337"/>
      <c r="S29" s="322"/>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S29" s="164"/>
    </row>
    <row r="30" spans="1:45" s="9" customFormat="1">
      <c r="A30" s="6"/>
      <c r="D30" s="287" t="s">
        <v>576</v>
      </c>
      <c r="E30" s="338"/>
      <c r="F30" s="338"/>
      <c r="G30" s="338"/>
      <c r="H30" s="338"/>
      <c r="I30" s="338"/>
      <c r="J30" s="338"/>
      <c r="K30" s="338"/>
      <c r="L30" s="338"/>
      <c r="M30" s="338"/>
      <c r="N30" s="338"/>
      <c r="O30" s="338"/>
      <c r="P30" s="338"/>
      <c r="Q30" s="338"/>
      <c r="R30" s="338"/>
      <c r="S30" s="324"/>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S30" s="164"/>
    </row>
    <row r="31" spans="1:45" s="9" customFormat="1" ht="12" customHeight="1">
      <c r="A31" s="6"/>
      <c r="B31" s="466" t="s">
        <v>587</v>
      </c>
      <c r="D31" s="37" t="s">
        <v>563</v>
      </c>
      <c r="E31" s="330">
        <v>73172</v>
      </c>
      <c r="F31" s="330">
        <v>55685</v>
      </c>
      <c r="G31" s="330">
        <v>65750</v>
      </c>
      <c r="H31" s="330">
        <v>80172</v>
      </c>
      <c r="I31" s="330">
        <v>79329</v>
      </c>
      <c r="J31" s="330"/>
      <c r="K31" s="330">
        <v>69517</v>
      </c>
      <c r="L31" s="330">
        <v>113506.54358579809</v>
      </c>
      <c r="M31" s="330">
        <v>98280</v>
      </c>
      <c r="N31" s="330">
        <v>62716</v>
      </c>
      <c r="O31" s="330">
        <v>56564</v>
      </c>
      <c r="P31" s="330">
        <v>68153</v>
      </c>
      <c r="Q31" s="330">
        <v>67568</v>
      </c>
      <c r="R31" s="330">
        <v>71355</v>
      </c>
      <c r="S31" s="322"/>
      <c r="T31" s="330">
        <v>32165</v>
      </c>
      <c r="U31" s="330">
        <v>33585</v>
      </c>
      <c r="V31" s="330">
        <v>42375</v>
      </c>
      <c r="W31" s="330">
        <v>37797</v>
      </c>
      <c r="X31" s="330">
        <v>41424</v>
      </c>
      <c r="Y31" s="330">
        <v>37905</v>
      </c>
      <c r="Z31" s="330"/>
      <c r="AA31" s="330">
        <v>31417</v>
      </c>
      <c r="AB31" s="330">
        <v>38100</v>
      </c>
      <c r="AC31" s="330">
        <v>53409.103085555282</v>
      </c>
      <c r="AD31" s="330">
        <v>60097.44050024281</v>
      </c>
      <c r="AE31" s="330">
        <v>50106</v>
      </c>
      <c r="AF31" s="330">
        <v>48174</v>
      </c>
      <c r="AG31" s="330">
        <v>33691</v>
      </c>
      <c r="AH31" s="330">
        <v>29025</v>
      </c>
      <c r="AI31" s="330">
        <v>27922</v>
      </c>
      <c r="AJ31" s="330">
        <v>28641.709576348869</v>
      </c>
      <c r="AK31" s="330">
        <v>36141</v>
      </c>
      <c r="AL31" s="330">
        <v>32012</v>
      </c>
      <c r="AM31" s="330">
        <v>35136</v>
      </c>
      <c r="AN31" s="330">
        <v>32432</v>
      </c>
      <c r="AO31" s="330">
        <v>36044</v>
      </c>
      <c r="AP31" s="330">
        <f>R31-AO31</f>
        <v>35311</v>
      </c>
      <c r="AQ31" s="330">
        <v>34340</v>
      </c>
      <c r="AS31" s="164"/>
    </row>
    <row r="32" spans="1:45" s="9" customFormat="1">
      <c r="B32" s="466"/>
      <c r="D32" s="37" t="s">
        <v>572</v>
      </c>
      <c r="E32" s="330">
        <v>43221</v>
      </c>
      <c r="F32" s="330">
        <v>36906</v>
      </c>
      <c r="G32" s="330">
        <v>45634</v>
      </c>
      <c r="H32" s="330">
        <v>50091</v>
      </c>
      <c r="I32" s="330">
        <v>63893</v>
      </c>
      <c r="J32" s="330"/>
      <c r="K32" s="330">
        <v>42440</v>
      </c>
      <c r="L32" s="330">
        <v>85872.956972170141</v>
      </c>
      <c r="M32" s="330">
        <v>75902</v>
      </c>
      <c r="N32" s="330">
        <v>42794</v>
      </c>
      <c r="O32" s="330">
        <v>34843</v>
      </c>
      <c r="P32" s="330">
        <v>38007</v>
      </c>
      <c r="Q32" s="330">
        <v>35764</v>
      </c>
      <c r="R32" s="330">
        <v>36952</v>
      </c>
      <c r="S32" s="322"/>
      <c r="T32" s="330">
        <v>23390</v>
      </c>
      <c r="U32" s="330">
        <v>22244</v>
      </c>
      <c r="V32" s="330">
        <v>26151</v>
      </c>
      <c r="W32" s="330">
        <v>23940</v>
      </c>
      <c r="X32" s="330">
        <v>28302</v>
      </c>
      <c r="Y32" s="330">
        <v>35591</v>
      </c>
      <c r="Z32" s="330"/>
      <c r="AA32" s="330">
        <v>20931</v>
      </c>
      <c r="AB32" s="330">
        <v>21509</v>
      </c>
      <c r="AC32" s="330">
        <v>43033.882924023012</v>
      </c>
      <c r="AD32" s="330">
        <v>42839.074048147129</v>
      </c>
      <c r="AE32" s="330">
        <v>39766</v>
      </c>
      <c r="AF32" s="330">
        <v>36136</v>
      </c>
      <c r="AG32" s="330">
        <v>22421</v>
      </c>
      <c r="AH32" s="330">
        <v>20373</v>
      </c>
      <c r="AI32" s="330">
        <v>16076</v>
      </c>
      <c r="AJ32" s="330">
        <v>18767</v>
      </c>
      <c r="AK32" s="330">
        <v>19402</v>
      </c>
      <c r="AL32" s="330">
        <v>18605</v>
      </c>
      <c r="AM32" s="330">
        <v>18411</v>
      </c>
      <c r="AN32" s="330">
        <v>17353</v>
      </c>
      <c r="AO32" s="330">
        <v>18108</v>
      </c>
      <c r="AP32" s="330">
        <f t="shared" ref="AP32:AP45" si="14">R32-AO32</f>
        <v>18844</v>
      </c>
      <c r="AQ32" s="330">
        <v>18184</v>
      </c>
      <c r="AS32" s="164"/>
    </row>
    <row r="33" spans="1:45" s="9" customFormat="1">
      <c r="B33" s="466"/>
      <c r="D33" s="37" t="s">
        <v>719</v>
      </c>
      <c r="E33" s="398" t="s">
        <v>694</v>
      </c>
      <c r="F33" s="398" t="s">
        <v>694</v>
      </c>
      <c r="G33" s="398" t="s">
        <v>694</v>
      </c>
      <c r="H33" s="398" t="s">
        <v>694</v>
      </c>
      <c r="I33" s="398" t="s">
        <v>694</v>
      </c>
      <c r="J33" s="398"/>
      <c r="K33" s="398" t="s">
        <v>694</v>
      </c>
      <c r="L33" s="345" t="s">
        <v>694</v>
      </c>
      <c r="M33" s="345" t="s">
        <v>694</v>
      </c>
      <c r="N33" s="345" t="s">
        <v>694</v>
      </c>
      <c r="O33" s="345" t="s">
        <v>694</v>
      </c>
      <c r="P33" s="345" t="s">
        <v>694</v>
      </c>
      <c r="Q33" s="345" t="s">
        <v>694</v>
      </c>
      <c r="R33" s="330">
        <v>12391</v>
      </c>
      <c r="S33" s="433"/>
      <c r="T33" s="345" t="s">
        <v>694</v>
      </c>
      <c r="U33" s="345" t="s">
        <v>694</v>
      </c>
      <c r="V33" s="345" t="s">
        <v>694</v>
      </c>
      <c r="W33" s="345" t="s">
        <v>694</v>
      </c>
      <c r="X33" s="345" t="s">
        <v>694</v>
      </c>
      <c r="Y33" s="345" t="s">
        <v>694</v>
      </c>
      <c r="Z33" s="345"/>
      <c r="AA33" s="345" t="s">
        <v>694</v>
      </c>
      <c r="AB33" s="345" t="s">
        <v>694</v>
      </c>
      <c r="AC33" s="345" t="s">
        <v>694</v>
      </c>
      <c r="AD33" s="345" t="s">
        <v>694</v>
      </c>
      <c r="AE33" s="345" t="s">
        <v>694</v>
      </c>
      <c r="AF33" s="345" t="s">
        <v>694</v>
      </c>
      <c r="AG33" s="345" t="s">
        <v>694</v>
      </c>
      <c r="AH33" s="345" t="s">
        <v>694</v>
      </c>
      <c r="AI33" s="345" t="s">
        <v>694</v>
      </c>
      <c r="AJ33" s="345" t="s">
        <v>694</v>
      </c>
      <c r="AK33" s="345" t="s">
        <v>694</v>
      </c>
      <c r="AL33" s="345" t="s">
        <v>694</v>
      </c>
      <c r="AM33" s="345" t="s">
        <v>694</v>
      </c>
      <c r="AN33" s="345" t="s">
        <v>694</v>
      </c>
      <c r="AO33" s="330">
        <v>5961</v>
      </c>
      <c r="AP33" s="330">
        <f t="shared" si="14"/>
        <v>6430</v>
      </c>
      <c r="AQ33" s="330">
        <v>6126</v>
      </c>
      <c r="AS33" s="164"/>
    </row>
    <row r="34" spans="1:45" s="9" customFormat="1">
      <c r="B34" s="466"/>
      <c r="D34" s="37" t="s">
        <v>573</v>
      </c>
      <c r="E34" s="330">
        <v>13332</v>
      </c>
      <c r="F34" s="330">
        <v>7643</v>
      </c>
      <c r="G34" s="330">
        <v>7626</v>
      </c>
      <c r="H34" s="330">
        <v>8172</v>
      </c>
      <c r="I34" s="330">
        <v>7343</v>
      </c>
      <c r="J34" s="330"/>
      <c r="K34" s="330">
        <v>5720</v>
      </c>
      <c r="L34" s="330">
        <v>29365.931927675258</v>
      </c>
      <c r="M34" s="330">
        <v>24268</v>
      </c>
      <c r="N34" s="330">
        <v>14498</v>
      </c>
      <c r="O34" s="330">
        <v>13225</v>
      </c>
      <c r="P34" s="330">
        <v>12966</v>
      </c>
      <c r="Q34" s="330">
        <v>12909</v>
      </c>
      <c r="R34" s="330">
        <v>1256</v>
      </c>
      <c r="S34" s="322"/>
      <c r="T34" s="330">
        <v>3868</v>
      </c>
      <c r="U34" s="330">
        <v>3758</v>
      </c>
      <c r="V34" s="330">
        <v>4059</v>
      </c>
      <c r="W34" s="330">
        <v>4113</v>
      </c>
      <c r="X34" s="330">
        <v>3738</v>
      </c>
      <c r="Y34" s="330">
        <v>3605</v>
      </c>
      <c r="Z34" s="330"/>
      <c r="AA34" s="330">
        <v>2907</v>
      </c>
      <c r="AB34" s="330">
        <v>2813</v>
      </c>
      <c r="AC34" s="330">
        <v>14730.389151679434</v>
      </c>
      <c r="AD34" s="330">
        <v>14635.542775995824</v>
      </c>
      <c r="AE34" s="330">
        <v>13606</v>
      </c>
      <c r="AF34" s="330">
        <v>10662</v>
      </c>
      <c r="AG34" s="330">
        <v>7663</v>
      </c>
      <c r="AH34" s="330">
        <v>6835</v>
      </c>
      <c r="AI34" s="330">
        <v>6237</v>
      </c>
      <c r="AJ34" s="330">
        <v>6987.9301421725449</v>
      </c>
      <c r="AK34" s="330">
        <v>6535</v>
      </c>
      <c r="AL34" s="330">
        <v>6431</v>
      </c>
      <c r="AM34" s="330">
        <v>6718.7323448569341</v>
      </c>
      <c r="AN34" s="330">
        <v>6190.2676551430659</v>
      </c>
      <c r="AO34" s="330">
        <v>592</v>
      </c>
      <c r="AP34" s="330">
        <f t="shared" si="14"/>
        <v>664</v>
      </c>
      <c r="AQ34" s="330">
        <v>388</v>
      </c>
      <c r="AS34" s="164"/>
    </row>
    <row r="35" spans="1:45" s="9" customFormat="1">
      <c r="B35" s="466"/>
      <c r="D35" s="37" t="s">
        <v>574</v>
      </c>
      <c r="E35" s="330">
        <v>14301</v>
      </c>
      <c r="F35" s="330">
        <v>0</v>
      </c>
      <c r="G35" s="330">
        <v>0</v>
      </c>
      <c r="H35" s="330">
        <v>0</v>
      </c>
      <c r="I35" s="330">
        <v>51541</v>
      </c>
      <c r="J35" s="330"/>
      <c r="K35" s="330">
        <v>0</v>
      </c>
      <c r="L35" s="330">
        <v>4222</v>
      </c>
      <c r="M35" s="330">
        <v>0</v>
      </c>
      <c r="N35" s="330">
        <v>46686</v>
      </c>
      <c r="O35" s="330">
        <v>0</v>
      </c>
      <c r="P35" s="330">
        <v>11400</v>
      </c>
      <c r="Q35" s="330">
        <v>0</v>
      </c>
      <c r="R35" s="330">
        <v>0</v>
      </c>
      <c r="S35" s="322"/>
      <c r="T35" s="330">
        <v>0</v>
      </c>
      <c r="U35" s="330">
        <v>0</v>
      </c>
      <c r="V35" s="330">
        <v>0</v>
      </c>
      <c r="W35" s="330">
        <v>0</v>
      </c>
      <c r="X35" s="330"/>
      <c r="Y35" s="330">
        <v>51541</v>
      </c>
      <c r="Z35" s="330"/>
      <c r="AA35" s="330">
        <v>0</v>
      </c>
      <c r="AB35" s="330">
        <v>0</v>
      </c>
      <c r="AC35" s="330">
        <v>0</v>
      </c>
      <c r="AD35" s="330">
        <v>4222</v>
      </c>
      <c r="AE35" s="330">
        <v>0</v>
      </c>
      <c r="AF35" s="330">
        <v>0</v>
      </c>
      <c r="AG35" s="330">
        <v>46686</v>
      </c>
      <c r="AH35" s="330">
        <v>0</v>
      </c>
      <c r="AI35" s="330">
        <v>0</v>
      </c>
      <c r="AJ35" s="330">
        <v>0</v>
      </c>
      <c r="AK35" s="330">
        <v>11400</v>
      </c>
      <c r="AL35" s="330">
        <v>0</v>
      </c>
      <c r="AM35" s="330">
        <v>0</v>
      </c>
      <c r="AN35" s="330">
        <v>0</v>
      </c>
      <c r="AO35" s="330">
        <v>0</v>
      </c>
      <c r="AP35" s="330">
        <f t="shared" si="14"/>
        <v>0</v>
      </c>
      <c r="AQ35" s="330">
        <v>0</v>
      </c>
      <c r="AS35" s="164"/>
    </row>
    <row r="36" spans="1:45" s="9" customFormat="1">
      <c r="B36" s="466"/>
      <c r="D36" s="37" t="s">
        <v>575</v>
      </c>
      <c r="E36" s="330">
        <v>0</v>
      </c>
      <c r="F36" s="330">
        <v>0</v>
      </c>
      <c r="G36" s="330">
        <v>0</v>
      </c>
      <c r="H36" s="330">
        <v>0</v>
      </c>
      <c r="I36" s="330">
        <v>0</v>
      </c>
      <c r="J36" s="330"/>
      <c r="K36" s="330">
        <v>0</v>
      </c>
      <c r="L36" s="330">
        <v>0</v>
      </c>
      <c r="M36" s="330">
        <v>0</v>
      </c>
      <c r="N36" s="330">
        <v>0</v>
      </c>
      <c r="O36" s="330">
        <v>67532</v>
      </c>
      <c r="P36" s="330">
        <v>0</v>
      </c>
      <c r="Q36" s="330">
        <v>0</v>
      </c>
      <c r="R36" s="330">
        <v>0</v>
      </c>
      <c r="S36" s="322"/>
      <c r="T36" s="330">
        <v>0</v>
      </c>
      <c r="U36" s="330">
        <v>0</v>
      </c>
      <c r="V36" s="330">
        <v>0</v>
      </c>
      <c r="W36" s="330">
        <v>0</v>
      </c>
      <c r="X36" s="330">
        <v>0</v>
      </c>
      <c r="Y36" s="330">
        <v>0</v>
      </c>
      <c r="Z36" s="330"/>
      <c r="AA36" s="330">
        <v>0</v>
      </c>
      <c r="AB36" s="330">
        <v>0</v>
      </c>
      <c r="AC36" s="330">
        <v>0</v>
      </c>
      <c r="AD36" s="330">
        <v>0</v>
      </c>
      <c r="AE36" s="330">
        <v>0</v>
      </c>
      <c r="AF36" s="330">
        <v>0</v>
      </c>
      <c r="AG36" s="330">
        <v>0</v>
      </c>
      <c r="AH36" s="330">
        <v>0</v>
      </c>
      <c r="AI36" s="330">
        <v>0</v>
      </c>
      <c r="AJ36" s="330">
        <v>67531.998977935757</v>
      </c>
      <c r="AK36" s="330">
        <v>0</v>
      </c>
      <c r="AL36" s="330">
        <v>0</v>
      </c>
      <c r="AM36" s="330">
        <v>0</v>
      </c>
      <c r="AN36" s="330">
        <v>0</v>
      </c>
      <c r="AO36" s="330">
        <v>0</v>
      </c>
      <c r="AP36" s="330">
        <f t="shared" si="14"/>
        <v>0</v>
      </c>
      <c r="AQ36" s="330">
        <v>0</v>
      </c>
      <c r="AS36" s="164"/>
    </row>
    <row r="37" spans="1:45" s="9" customFormat="1">
      <c r="B37" s="466"/>
      <c r="D37" s="36" t="s">
        <v>662</v>
      </c>
      <c r="E37" s="330">
        <v>17759</v>
      </c>
      <c r="F37" s="330">
        <v>0</v>
      </c>
      <c r="G37" s="330">
        <v>0</v>
      </c>
      <c r="H37" s="330">
        <v>0</v>
      </c>
      <c r="I37" s="330">
        <v>6484</v>
      </c>
      <c r="J37" s="330"/>
      <c r="K37" s="330">
        <v>0</v>
      </c>
      <c r="L37" s="330">
        <v>0</v>
      </c>
      <c r="M37" s="330">
        <v>0</v>
      </c>
      <c r="N37" s="330">
        <v>0</v>
      </c>
      <c r="O37" s="330">
        <v>0</v>
      </c>
      <c r="P37" s="330">
        <v>0</v>
      </c>
      <c r="Q37" s="330">
        <v>0</v>
      </c>
      <c r="R37" s="330">
        <v>0</v>
      </c>
      <c r="S37" s="322"/>
      <c r="T37" s="330">
        <v>0</v>
      </c>
      <c r="U37" s="330">
        <v>0</v>
      </c>
      <c r="V37" s="330">
        <v>0</v>
      </c>
      <c r="W37" s="330">
        <v>0</v>
      </c>
      <c r="X37" s="330">
        <v>0</v>
      </c>
      <c r="Y37" s="330">
        <v>6484</v>
      </c>
      <c r="Z37" s="330"/>
      <c r="AA37" s="330">
        <v>0</v>
      </c>
      <c r="AB37" s="330">
        <v>0</v>
      </c>
      <c r="AC37" s="330">
        <v>0</v>
      </c>
      <c r="AD37" s="330">
        <v>0</v>
      </c>
      <c r="AE37" s="330">
        <v>0</v>
      </c>
      <c r="AF37" s="330">
        <v>0</v>
      </c>
      <c r="AG37" s="330">
        <v>0</v>
      </c>
      <c r="AH37" s="330">
        <v>0</v>
      </c>
      <c r="AI37" s="330">
        <v>0</v>
      </c>
      <c r="AJ37" s="330">
        <v>0</v>
      </c>
      <c r="AK37" s="330">
        <v>0</v>
      </c>
      <c r="AL37" s="330">
        <v>0</v>
      </c>
      <c r="AM37" s="330">
        <v>0</v>
      </c>
      <c r="AN37" s="330">
        <v>0</v>
      </c>
      <c r="AO37" s="330">
        <v>0</v>
      </c>
      <c r="AP37" s="330">
        <f t="shared" si="14"/>
        <v>0</v>
      </c>
      <c r="AQ37" s="330">
        <v>0</v>
      </c>
      <c r="AS37" s="164"/>
    </row>
    <row r="38" spans="1:45" s="9" customFormat="1">
      <c r="B38" s="466"/>
      <c r="D38" s="37" t="s">
        <v>564</v>
      </c>
      <c r="E38" s="330">
        <v>42013</v>
      </c>
      <c r="F38" s="330">
        <v>33255</v>
      </c>
      <c r="G38" s="330">
        <v>43338</v>
      </c>
      <c r="H38" s="330">
        <v>50000</v>
      </c>
      <c r="I38" s="330">
        <v>41668</v>
      </c>
      <c r="J38" s="330"/>
      <c r="K38" s="330">
        <v>12692</v>
      </c>
      <c r="L38" s="330">
        <v>12958.671947521758</v>
      </c>
      <c r="M38" s="330">
        <v>10826</v>
      </c>
      <c r="N38" s="330">
        <v>6300</v>
      </c>
      <c r="O38" s="330">
        <v>6642</v>
      </c>
      <c r="P38" s="330">
        <v>8346</v>
      </c>
      <c r="Q38" s="330">
        <v>6856</v>
      </c>
      <c r="R38" s="330">
        <v>15662</v>
      </c>
      <c r="S38" s="322"/>
      <c r="T38" s="330">
        <v>21734</v>
      </c>
      <c r="U38" s="330">
        <v>21604</v>
      </c>
      <c r="V38" s="330">
        <v>26136</v>
      </c>
      <c r="W38" s="330">
        <v>23864</v>
      </c>
      <c r="X38" s="330">
        <v>22817</v>
      </c>
      <c r="Y38" s="330">
        <v>18851</v>
      </c>
      <c r="Z38" s="330"/>
      <c r="AA38" s="330">
        <v>7057</v>
      </c>
      <c r="AB38" s="330">
        <v>5635</v>
      </c>
      <c r="AC38" s="330">
        <v>7717.5053625148448</v>
      </c>
      <c r="AD38" s="330">
        <v>5241.166585006913</v>
      </c>
      <c r="AE38" s="330">
        <v>6334</v>
      </c>
      <c r="AF38" s="330">
        <v>4492</v>
      </c>
      <c r="AG38" s="330">
        <v>3449</v>
      </c>
      <c r="AH38" s="330">
        <v>2851</v>
      </c>
      <c r="AI38" s="330">
        <v>3232</v>
      </c>
      <c r="AJ38" s="330">
        <v>3410.0456653501697</v>
      </c>
      <c r="AK38" s="330">
        <v>4192</v>
      </c>
      <c r="AL38" s="330">
        <v>4154</v>
      </c>
      <c r="AM38" s="330">
        <v>4515</v>
      </c>
      <c r="AN38" s="330">
        <v>2341</v>
      </c>
      <c r="AO38" s="330">
        <v>4030</v>
      </c>
      <c r="AP38" s="330">
        <f t="shared" si="14"/>
        <v>11632</v>
      </c>
      <c r="AQ38" s="330">
        <v>23022</v>
      </c>
      <c r="AS38" s="164"/>
    </row>
    <row r="39" spans="1:45" s="9" customFormat="1">
      <c r="B39" s="466"/>
      <c r="D39" s="37" t="s">
        <v>565</v>
      </c>
      <c r="E39" s="330">
        <v>22463</v>
      </c>
      <c r="F39" s="330">
        <v>13857</v>
      </c>
      <c r="G39" s="330">
        <v>19426</v>
      </c>
      <c r="H39" s="330">
        <v>25701</v>
      </c>
      <c r="I39" s="330">
        <v>25761</v>
      </c>
      <c r="J39" s="330"/>
      <c r="K39" s="330">
        <v>7593</v>
      </c>
      <c r="L39" s="330">
        <v>15116.239542749157</v>
      </c>
      <c r="M39" s="330">
        <v>12517</v>
      </c>
      <c r="N39" s="330">
        <v>6504</v>
      </c>
      <c r="O39" s="330">
        <v>5994</v>
      </c>
      <c r="P39" s="330">
        <v>7892</v>
      </c>
      <c r="Q39" s="330">
        <v>9074</v>
      </c>
      <c r="R39" s="330">
        <v>9813</v>
      </c>
      <c r="S39" s="322"/>
      <c r="T39" s="330">
        <v>9833</v>
      </c>
      <c r="U39" s="330">
        <v>9593</v>
      </c>
      <c r="V39" s="330">
        <v>13494</v>
      </c>
      <c r="W39" s="330">
        <v>12207</v>
      </c>
      <c r="X39" s="330">
        <v>14424</v>
      </c>
      <c r="Y39" s="330">
        <v>11337</v>
      </c>
      <c r="Z39" s="330"/>
      <c r="AA39" s="330">
        <v>3966</v>
      </c>
      <c r="AB39" s="330">
        <v>3627</v>
      </c>
      <c r="AC39" s="330">
        <v>8007.6126560655057</v>
      </c>
      <c r="AD39" s="330">
        <v>7108.6268866836517</v>
      </c>
      <c r="AE39" s="330">
        <v>7307</v>
      </c>
      <c r="AF39" s="330">
        <v>5210</v>
      </c>
      <c r="AG39" s="330">
        <v>3560</v>
      </c>
      <c r="AH39" s="330">
        <v>2944</v>
      </c>
      <c r="AI39" s="330">
        <v>2835</v>
      </c>
      <c r="AJ39" s="330">
        <v>3159</v>
      </c>
      <c r="AK39" s="330">
        <v>3913</v>
      </c>
      <c r="AL39" s="330">
        <v>3979</v>
      </c>
      <c r="AM39" s="330">
        <v>4852</v>
      </c>
      <c r="AN39" s="330">
        <v>4222</v>
      </c>
      <c r="AO39" s="330">
        <v>5040</v>
      </c>
      <c r="AP39" s="330">
        <f t="shared" si="14"/>
        <v>4773</v>
      </c>
      <c r="AQ39" s="330">
        <v>4606</v>
      </c>
      <c r="AS39" s="164"/>
    </row>
    <row r="40" spans="1:45" s="125" customFormat="1">
      <c r="B40" s="466"/>
      <c r="D40" s="36" t="s">
        <v>566</v>
      </c>
      <c r="E40" s="330">
        <v>11654</v>
      </c>
      <c r="F40" s="330">
        <v>6590</v>
      </c>
      <c r="G40" s="330">
        <v>11902</v>
      </c>
      <c r="H40" s="330">
        <v>14106</v>
      </c>
      <c r="I40" s="330">
        <v>14706</v>
      </c>
      <c r="J40" s="330"/>
      <c r="K40" s="330">
        <v>9067</v>
      </c>
      <c r="L40" s="330">
        <v>14154.774721582211</v>
      </c>
      <c r="M40" s="330">
        <v>12613</v>
      </c>
      <c r="N40" s="330">
        <v>7303</v>
      </c>
      <c r="O40" s="330">
        <v>6924</v>
      </c>
      <c r="P40" s="330">
        <v>8118</v>
      </c>
      <c r="Q40" s="330">
        <v>8371</v>
      </c>
      <c r="R40" s="330">
        <v>6519</v>
      </c>
      <c r="S40" s="322"/>
      <c r="T40" s="330">
        <v>5288</v>
      </c>
      <c r="U40" s="330">
        <v>6614</v>
      </c>
      <c r="V40" s="330">
        <v>5604</v>
      </c>
      <c r="W40" s="330">
        <v>8502</v>
      </c>
      <c r="X40" s="330">
        <v>7464</v>
      </c>
      <c r="Y40" s="330">
        <v>7242</v>
      </c>
      <c r="Z40" s="330"/>
      <c r="AA40" s="330">
        <v>4306</v>
      </c>
      <c r="AB40" s="330">
        <v>4761</v>
      </c>
      <c r="AC40" s="330">
        <v>6926.6188568534608</v>
      </c>
      <c r="AD40" s="330">
        <v>7228.1558647287502</v>
      </c>
      <c r="AE40" s="330">
        <v>5360</v>
      </c>
      <c r="AF40" s="330">
        <v>7253</v>
      </c>
      <c r="AG40" s="330">
        <v>3160</v>
      </c>
      <c r="AH40" s="330">
        <v>4143</v>
      </c>
      <c r="AI40" s="330">
        <v>2797</v>
      </c>
      <c r="AJ40" s="330">
        <v>4127</v>
      </c>
      <c r="AK40" s="330">
        <v>3540</v>
      </c>
      <c r="AL40" s="330">
        <v>4578</v>
      </c>
      <c r="AM40" s="330">
        <v>3611</v>
      </c>
      <c r="AN40" s="330">
        <v>4760</v>
      </c>
      <c r="AO40" s="330">
        <v>2133</v>
      </c>
      <c r="AP40" s="330">
        <f t="shared" si="14"/>
        <v>4386</v>
      </c>
      <c r="AQ40" s="330">
        <v>2237</v>
      </c>
      <c r="AS40" s="164"/>
    </row>
    <row r="41" spans="1:45" s="9" customFormat="1">
      <c r="B41" s="466"/>
      <c r="D41" s="37" t="s">
        <v>567</v>
      </c>
      <c r="E41" s="330">
        <v>4992</v>
      </c>
      <c r="F41" s="330">
        <v>5328</v>
      </c>
      <c r="G41" s="330">
        <v>6139</v>
      </c>
      <c r="H41" s="330">
        <v>7316</v>
      </c>
      <c r="I41" s="330">
        <v>7869</v>
      </c>
      <c r="J41" s="330"/>
      <c r="K41" s="330">
        <v>6738</v>
      </c>
      <c r="L41" s="330">
        <v>10699.993483644115</v>
      </c>
      <c r="M41" s="330">
        <v>9234</v>
      </c>
      <c r="N41" s="330">
        <v>6190</v>
      </c>
      <c r="O41" s="330">
        <v>5356</v>
      </c>
      <c r="P41" s="330">
        <v>5680</v>
      </c>
      <c r="Q41" s="330">
        <v>5417</v>
      </c>
      <c r="R41" s="330">
        <v>2856</v>
      </c>
      <c r="S41" s="322"/>
      <c r="T41" s="330">
        <v>2683</v>
      </c>
      <c r="U41" s="330">
        <v>3456</v>
      </c>
      <c r="V41" s="330">
        <v>3795</v>
      </c>
      <c r="W41" s="330">
        <v>3521</v>
      </c>
      <c r="X41" s="330">
        <v>3807</v>
      </c>
      <c r="Y41" s="330">
        <v>4062</v>
      </c>
      <c r="Z41" s="330"/>
      <c r="AA41" s="330">
        <v>3343</v>
      </c>
      <c r="AB41" s="330">
        <v>3395</v>
      </c>
      <c r="AC41" s="330">
        <v>5277.3871687088686</v>
      </c>
      <c r="AD41" s="330">
        <v>5422.6063149352467</v>
      </c>
      <c r="AE41" s="330">
        <v>4992</v>
      </c>
      <c r="AF41" s="330">
        <v>4242</v>
      </c>
      <c r="AG41" s="330">
        <v>3752</v>
      </c>
      <c r="AH41" s="330">
        <v>2438</v>
      </c>
      <c r="AI41" s="330">
        <v>2419</v>
      </c>
      <c r="AJ41" s="330">
        <v>2937.0499833450685</v>
      </c>
      <c r="AK41" s="330">
        <v>2627</v>
      </c>
      <c r="AL41" s="330">
        <v>3053</v>
      </c>
      <c r="AM41" s="330">
        <v>2945.2756858148641</v>
      </c>
      <c r="AN41" s="330">
        <v>2471.7243141851359</v>
      </c>
      <c r="AO41" s="330">
        <v>1584</v>
      </c>
      <c r="AP41" s="330">
        <f t="shared" si="14"/>
        <v>1272</v>
      </c>
      <c r="AQ41" s="330">
        <v>1314</v>
      </c>
      <c r="AS41" s="164"/>
    </row>
    <row r="42" spans="1:45" s="9" customFormat="1" ht="24">
      <c r="B42" s="466"/>
      <c r="D42" s="37" t="s">
        <v>733</v>
      </c>
      <c r="E42" s="330">
        <v>14598</v>
      </c>
      <c r="F42" s="330">
        <v>4951</v>
      </c>
      <c r="G42" s="330">
        <v>4271</v>
      </c>
      <c r="H42" s="330">
        <v>7640</v>
      </c>
      <c r="I42" s="330">
        <v>5160</v>
      </c>
      <c r="J42" s="330"/>
      <c r="K42" s="330">
        <v>5583</v>
      </c>
      <c r="L42" s="339">
        <v>7156.9679687491671</v>
      </c>
      <c r="M42" s="330">
        <v>5378</v>
      </c>
      <c r="N42" s="330">
        <v>4974</v>
      </c>
      <c r="O42" s="330">
        <v>5123</v>
      </c>
      <c r="P42" s="330">
        <v>4915</v>
      </c>
      <c r="Q42" s="330">
        <v>4246</v>
      </c>
      <c r="R42" s="330">
        <v>3793</v>
      </c>
      <c r="S42" s="322">
        <v>0</v>
      </c>
      <c r="T42" s="330">
        <v>2443</v>
      </c>
      <c r="U42" s="330">
        <v>1828</v>
      </c>
      <c r="V42" s="330">
        <v>5635</v>
      </c>
      <c r="W42" s="330">
        <v>2005</v>
      </c>
      <c r="X42" s="330">
        <v>2623</v>
      </c>
      <c r="Y42" s="330">
        <v>2537</v>
      </c>
      <c r="Z42" s="330"/>
      <c r="AA42" s="330">
        <v>3036</v>
      </c>
      <c r="AB42" s="330">
        <v>2547</v>
      </c>
      <c r="AC42" s="330">
        <v>4385.8278707460122</v>
      </c>
      <c r="AD42" s="330">
        <v>2771.1400980031549</v>
      </c>
      <c r="AE42" s="330">
        <v>3199</v>
      </c>
      <c r="AF42" s="330">
        <v>2179</v>
      </c>
      <c r="AG42" s="330">
        <v>2609</v>
      </c>
      <c r="AH42" s="330">
        <v>2365</v>
      </c>
      <c r="AI42" s="330">
        <v>3414</v>
      </c>
      <c r="AJ42" s="330">
        <v>1709</v>
      </c>
      <c r="AK42" s="330">
        <v>2573</v>
      </c>
      <c r="AL42" s="330">
        <v>2342</v>
      </c>
      <c r="AM42" s="330">
        <v>2345.6479767816418</v>
      </c>
      <c r="AN42" s="330">
        <v>1900.3520232183582</v>
      </c>
      <c r="AO42" s="330">
        <v>2188</v>
      </c>
      <c r="AP42" s="330">
        <f t="shared" si="14"/>
        <v>1605</v>
      </c>
      <c r="AQ42" s="330">
        <v>1531</v>
      </c>
      <c r="AS42" s="164"/>
    </row>
    <row r="43" spans="1:45" s="9" customFormat="1">
      <c r="B43" s="466"/>
      <c r="D43" s="37" t="s">
        <v>568</v>
      </c>
      <c r="E43" s="330">
        <v>5087</v>
      </c>
      <c r="F43" s="330">
        <v>5428</v>
      </c>
      <c r="G43" s="330">
        <v>6494</v>
      </c>
      <c r="H43" s="330">
        <v>7539</v>
      </c>
      <c r="I43" s="330">
        <v>7114.4977828207975</v>
      </c>
      <c r="J43" s="330"/>
      <c r="K43" s="330">
        <v>2449</v>
      </c>
      <c r="L43" s="339">
        <v>9028</v>
      </c>
      <c r="M43" s="330">
        <v>7570</v>
      </c>
      <c r="N43" s="330">
        <v>5368</v>
      </c>
      <c r="O43" s="330">
        <v>4944</v>
      </c>
      <c r="P43" s="330">
        <v>5976</v>
      </c>
      <c r="Q43" s="330">
        <v>4122</v>
      </c>
      <c r="R43" s="330">
        <v>412</v>
      </c>
      <c r="S43" s="322"/>
      <c r="T43" s="330">
        <v>3024</v>
      </c>
      <c r="U43" s="330">
        <v>3470</v>
      </c>
      <c r="V43" s="330">
        <v>3564.5209677576563</v>
      </c>
      <c r="W43" s="330">
        <v>3974.4790322423437</v>
      </c>
      <c r="X43" s="330">
        <v>4220</v>
      </c>
      <c r="Y43" s="330">
        <v>2894.4977828207975</v>
      </c>
      <c r="Z43" s="330"/>
      <c r="AA43" s="330">
        <v>1194</v>
      </c>
      <c r="AB43" s="330">
        <v>1255</v>
      </c>
      <c r="AC43" s="330">
        <v>4263.5152347042222</v>
      </c>
      <c r="AD43" s="330">
        <v>4764.7493740829741</v>
      </c>
      <c r="AE43" s="330">
        <v>4103</v>
      </c>
      <c r="AF43" s="330">
        <v>3467</v>
      </c>
      <c r="AG43" s="330">
        <v>2898</v>
      </c>
      <c r="AH43" s="330">
        <v>2470</v>
      </c>
      <c r="AI43" s="330">
        <v>2156</v>
      </c>
      <c r="AJ43" s="330">
        <v>2788</v>
      </c>
      <c r="AK43" s="330">
        <v>3047</v>
      </c>
      <c r="AL43" s="330">
        <v>2929</v>
      </c>
      <c r="AM43" s="330">
        <v>2334</v>
      </c>
      <c r="AN43" s="330">
        <v>1788</v>
      </c>
      <c r="AO43" s="330">
        <v>284</v>
      </c>
      <c r="AP43" s="330">
        <f t="shared" si="14"/>
        <v>128</v>
      </c>
      <c r="AQ43" s="330">
        <v>261</v>
      </c>
      <c r="AS43" s="164"/>
    </row>
    <row r="44" spans="1:45" s="9" customFormat="1">
      <c r="B44" s="466"/>
      <c r="D44" s="37" t="s">
        <v>569</v>
      </c>
      <c r="E44" s="330">
        <v>8829</v>
      </c>
      <c r="F44" s="330">
        <v>3491</v>
      </c>
      <c r="G44" s="330">
        <v>2902</v>
      </c>
      <c r="H44" s="330">
        <v>8101</v>
      </c>
      <c r="I44" s="330">
        <v>9449</v>
      </c>
      <c r="J44" s="330"/>
      <c r="K44" s="330">
        <v>7725</v>
      </c>
      <c r="L44" s="339">
        <v>12384.747315111863</v>
      </c>
      <c r="M44" s="330">
        <v>7624</v>
      </c>
      <c r="N44" s="330">
        <v>4564</v>
      </c>
      <c r="O44" s="330">
        <v>5311</v>
      </c>
      <c r="P44" s="330">
        <v>6849</v>
      </c>
      <c r="Q44" s="330">
        <v>8310</v>
      </c>
      <c r="R44" s="330">
        <v>14298</v>
      </c>
      <c r="S44" s="322"/>
      <c r="T44" s="330">
        <v>1293</v>
      </c>
      <c r="U44" s="330">
        <v>1609</v>
      </c>
      <c r="V44" s="330">
        <v>4562</v>
      </c>
      <c r="W44" s="330">
        <v>3539</v>
      </c>
      <c r="X44" s="330">
        <v>4432</v>
      </c>
      <c r="Y44" s="330">
        <v>5017</v>
      </c>
      <c r="Z44" s="330"/>
      <c r="AA44" s="330">
        <v>3798</v>
      </c>
      <c r="AB44" s="330">
        <v>3927</v>
      </c>
      <c r="AC44" s="330">
        <v>4941.2159081146328</v>
      </c>
      <c r="AD44" s="330">
        <v>7443.5314069972301</v>
      </c>
      <c r="AE44" s="330">
        <v>4255</v>
      </c>
      <c r="AF44" s="330">
        <v>3369</v>
      </c>
      <c r="AG44" s="330">
        <v>2398</v>
      </c>
      <c r="AH44" s="330">
        <v>2166</v>
      </c>
      <c r="AI44" s="330">
        <v>2352</v>
      </c>
      <c r="AJ44" s="330">
        <v>2958.5062688738626</v>
      </c>
      <c r="AK44" s="330">
        <v>3211</v>
      </c>
      <c r="AL44" s="330">
        <v>3638</v>
      </c>
      <c r="AM44" s="330">
        <v>4094.874016679099</v>
      </c>
      <c r="AN44" s="330">
        <v>4215.1259833209006</v>
      </c>
      <c r="AO44" s="330">
        <v>7480</v>
      </c>
      <c r="AP44" s="330">
        <f t="shared" si="14"/>
        <v>6818</v>
      </c>
      <c r="AQ44" s="330">
        <v>7735</v>
      </c>
      <c r="AS44" s="164"/>
    </row>
    <row r="45" spans="1:45" s="9" customFormat="1">
      <c r="A45" s="6"/>
      <c r="B45" s="466"/>
      <c r="D45" s="37" t="s">
        <v>570</v>
      </c>
      <c r="E45" s="330">
        <v>26268</v>
      </c>
      <c r="F45" s="330">
        <v>15497</v>
      </c>
      <c r="G45" s="330">
        <v>15645</v>
      </c>
      <c r="H45" s="330">
        <v>18583</v>
      </c>
      <c r="I45" s="330">
        <v>22867</v>
      </c>
      <c r="J45" s="330"/>
      <c r="K45" s="330">
        <v>13050</v>
      </c>
      <c r="L45" s="330">
        <v>33110</v>
      </c>
      <c r="M45" s="330">
        <v>22433</v>
      </c>
      <c r="N45" s="330">
        <v>10813</v>
      </c>
      <c r="O45" s="330">
        <v>10281</v>
      </c>
      <c r="P45" s="330">
        <v>12940</v>
      </c>
      <c r="Q45" s="330">
        <v>12308</v>
      </c>
      <c r="R45" s="330">
        <v>11994</v>
      </c>
      <c r="S45" s="322">
        <v>0</v>
      </c>
      <c r="T45" s="330">
        <v>7443</v>
      </c>
      <c r="U45" s="330">
        <v>8202</v>
      </c>
      <c r="V45" s="330">
        <v>9536.4790322423505</v>
      </c>
      <c r="W45" s="330">
        <v>9046.5209677576495</v>
      </c>
      <c r="X45" s="330">
        <v>9906</v>
      </c>
      <c r="Y45" s="330">
        <v>12961</v>
      </c>
      <c r="Z45" s="330"/>
      <c r="AA45" s="330">
        <v>6316</v>
      </c>
      <c r="AB45" s="330">
        <v>6734</v>
      </c>
      <c r="AC45" s="330">
        <v>16553.6685024914</v>
      </c>
      <c r="AD45" s="330">
        <v>16556.2197422145</v>
      </c>
      <c r="AE45" s="330">
        <v>10936</v>
      </c>
      <c r="AF45" s="330">
        <v>11497</v>
      </c>
      <c r="AG45" s="330">
        <v>5369</v>
      </c>
      <c r="AH45" s="330">
        <v>5444</v>
      </c>
      <c r="AI45" s="330">
        <v>5031.9999999999818</v>
      </c>
      <c r="AJ45" s="330">
        <v>5249.0000000000182</v>
      </c>
      <c r="AK45" s="330">
        <v>5927.9999999999973</v>
      </c>
      <c r="AL45" s="330">
        <v>7012.0000000000027</v>
      </c>
      <c r="AM45" s="330">
        <v>6760</v>
      </c>
      <c r="AN45" s="330">
        <v>5548</v>
      </c>
      <c r="AO45" s="330">
        <v>6410</v>
      </c>
      <c r="AP45" s="330">
        <f t="shared" si="14"/>
        <v>5584</v>
      </c>
      <c r="AQ45" s="330">
        <v>5181</v>
      </c>
      <c r="AS45" s="164"/>
    </row>
    <row r="46" spans="1:45" s="9" customFormat="1" ht="24">
      <c r="A46" s="6"/>
      <c r="B46" s="466"/>
      <c r="D46" s="283" t="s">
        <v>571</v>
      </c>
      <c r="E46" s="332">
        <f>SUM(E31:E45)</f>
        <v>297689</v>
      </c>
      <c r="F46" s="332">
        <f>SUM(F31:F45)</f>
        <v>188631</v>
      </c>
      <c r="G46" s="332">
        <f>SUM(G31:G45)</f>
        <v>229127</v>
      </c>
      <c r="H46" s="332">
        <f>SUM(H31:H45)</f>
        <v>277421</v>
      </c>
      <c r="I46" s="332">
        <f>SUM(I31:I45)</f>
        <v>343184.49778282078</v>
      </c>
      <c r="J46" s="332"/>
      <c r="K46" s="332">
        <f t="shared" ref="K46:R46" si="15">SUM(K31:K45)</f>
        <v>182574</v>
      </c>
      <c r="L46" s="332">
        <f t="shared" si="15"/>
        <v>347576.82746500173</v>
      </c>
      <c r="M46" s="332">
        <f t="shared" si="15"/>
        <v>286645</v>
      </c>
      <c r="N46" s="332">
        <f t="shared" si="15"/>
        <v>218710</v>
      </c>
      <c r="O46" s="332">
        <f t="shared" si="15"/>
        <v>222739</v>
      </c>
      <c r="P46" s="332">
        <f t="shared" si="15"/>
        <v>191242</v>
      </c>
      <c r="Q46" s="332">
        <f t="shared" si="15"/>
        <v>174945</v>
      </c>
      <c r="R46" s="332">
        <f t="shared" si="15"/>
        <v>187301</v>
      </c>
      <c r="S46" s="324"/>
      <c r="T46" s="332">
        <f t="shared" ref="T46:Y46" si="16">SUM(T31:T45)</f>
        <v>113164</v>
      </c>
      <c r="U46" s="332">
        <f t="shared" si="16"/>
        <v>115963</v>
      </c>
      <c r="V46" s="332">
        <f t="shared" si="16"/>
        <v>144912</v>
      </c>
      <c r="W46" s="332">
        <f t="shared" si="16"/>
        <v>132509</v>
      </c>
      <c r="X46" s="332">
        <f t="shared" si="16"/>
        <v>143157</v>
      </c>
      <c r="Y46" s="332">
        <f t="shared" si="16"/>
        <v>200027.49778282081</v>
      </c>
      <c r="Z46" s="332"/>
      <c r="AA46" s="332">
        <f t="shared" ref="AA46:AQ46" si="17">SUM(AA31:AA45)</f>
        <v>88271</v>
      </c>
      <c r="AB46" s="332">
        <f t="shared" si="17"/>
        <v>94303</v>
      </c>
      <c r="AC46" s="332">
        <f t="shared" si="17"/>
        <v>169246.72672145668</v>
      </c>
      <c r="AD46" s="332">
        <f t="shared" si="17"/>
        <v>178330.25359703822</v>
      </c>
      <c r="AE46" s="332">
        <f t="shared" si="17"/>
        <v>149964</v>
      </c>
      <c r="AF46" s="332">
        <f t="shared" si="17"/>
        <v>136681</v>
      </c>
      <c r="AG46" s="332">
        <f t="shared" si="17"/>
        <v>137656</v>
      </c>
      <c r="AH46" s="332">
        <f t="shared" si="17"/>
        <v>81054</v>
      </c>
      <c r="AI46" s="332">
        <f t="shared" si="17"/>
        <v>74471.999999999985</v>
      </c>
      <c r="AJ46" s="332">
        <f t="shared" si="17"/>
        <v>148266.24061402632</v>
      </c>
      <c r="AK46" s="332">
        <f t="shared" si="17"/>
        <v>102509</v>
      </c>
      <c r="AL46" s="332">
        <f t="shared" si="17"/>
        <v>88733</v>
      </c>
      <c r="AM46" s="332">
        <f t="shared" si="17"/>
        <v>91723.530024132546</v>
      </c>
      <c r="AN46" s="332">
        <f t="shared" si="17"/>
        <v>83221.469975867454</v>
      </c>
      <c r="AO46" s="332">
        <f t="shared" si="17"/>
        <v>89854</v>
      </c>
      <c r="AP46" s="332">
        <f t="shared" si="17"/>
        <v>97447</v>
      </c>
      <c r="AQ46" s="332">
        <f t="shared" si="17"/>
        <v>104925</v>
      </c>
      <c r="AS46" s="164"/>
    </row>
    <row r="47" spans="1:45" s="9" customFormat="1">
      <c r="A47" s="6"/>
      <c r="B47" s="466"/>
      <c r="D47" s="288" t="s">
        <v>582</v>
      </c>
      <c r="E47" s="340">
        <f>E46-SUM(E32:E37)</f>
        <v>209076</v>
      </c>
      <c r="F47" s="340">
        <f>F46-SUM(F32:F37)</f>
        <v>144082</v>
      </c>
      <c r="G47" s="340">
        <f>G46-SUM(G32:G37)</f>
        <v>175867</v>
      </c>
      <c r="H47" s="340">
        <f>H46-SUM(H32:H37)</f>
        <v>219158</v>
      </c>
      <c r="I47" s="340">
        <f>I46-SUM(I32:I37)</f>
        <v>213923.49778282078</v>
      </c>
      <c r="J47" s="340"/>
      <c r="K47" s="340">
        <f t="shared" ref="K47:Y47" si="18">K46-SUM(K32:K37)</f>
        <v>134414</v>
      </c>
      <c r="L47" s="340">
        <f t="shared" si="18"/>
        <v>228115.93856515634</v>
      </c>
      <c r="M47" s="340">
        <f t="shared" si="18"/>
        <v>186475</v>
      </c>
      <c r="N47" s="340">
        <f t="shared" si="18"/>
        <v>114732</v>
      </c>
      <c r="O47" s="340">
        <f t="shared" si="18"/>
        <v>107139</v>
      </c>
      <c r="P47" s="340">
        <f t="shared" si="18"/>
        <v>128869</v>
      </c>
      <c r="Q47" s="340">
        <f t="shared" si="18"/>
        <v>126272</v>
      </c>
      <c r="R47" s="340">
        <f t="shared" si="18"/>
        <v>136702</v>
      </c>
      <c r="S47" s="328">
        <f t="shared" si="18"/>
        <v>0</v>
      </c>
      <c r="T47" s="340">
        <f t="shared" si="18"/>
        <v>85906</v>
      </c>
      <c r="U47" s="340">
        <f t="shared" si="18"/>
        <v>89961</v>
      </c>
      <c r="V47" s="340">
        <f t="shared" si="18"/>
        <v>114702</v>
      </c>
      <c r="W47" s="340">
        <f t="shared" si="18"/>
        <v>104456</v>
      </c>
      <c r="X47" s="340">
        <f t="shared" si="18"/>
        <v>111117</v>
      </c>
      <c r="Y47" s="340">
        <f t="shared" si="18"/>
        <v>102806.49778282081</v>
      </c>
      <c r="Z47" s="340"/>
      <c r="AA47" s="340">
        <f t="shared" ref="AA47:AP47" si="19">AA46-SUM(AA32:AA37)</f>
        <v>64433</v>
      </c>
      <c r="AB47" s="340">
        <f t="shared" si="19"/>
        <v>69981</v>
      </c>
      <c r="AC47" s="340">
        <f t="shared" si="19"/>
        <v>111482.45464575425</v>
      </c>
      <c r="AD47" s="340">
        <f t="shared" si="19"/>
        <v>116633.63677289526</v>
      </c>
      <c r="AE47" s="340">
        <f t="shared" si="19"/>
        <v>96592</v>
      </c>
      <c r="AF47" s="340">
        <f t="shared" si="19"/>
        <v>89883</v>
      </c>
      <c r="AG47" s="340">
        <f t="shared" si="19"/>
        <v>60886</v>
      </c>
      <c r="AH47" s="340">
        <f t="shared" si="19"/>
        <v>53846</v>
      </c>
      <c r="AI47" s="340">
        <f t="shared" si="19"/>
        <v>52158.999999999985</v>
      </c>
      <c r="AJ47" s="340">
        <f t="shared" si="19"/>
        <v>54979.311493918009</v>
      </c>
      <c r="AK47" s="340">
        <f t="shared" si="19"/>
        <v>65172</v>
      </c>
      <c r="AL47" s="340">
        <f t="shared" si="19"/>
        <v>63697</v>
      </c>
      <c r="AM47" s="340">
        <f t="shared" si="19"/>
        <v>66593.797679275609</v>
      </c>
      <c r="AN47" s="340">
        <f t="shared" si="19"/>
        <v>59678.202320724391</v>
      </c>
      <c r="AO47" s="340">
        <f t="shared" si="19"/>
        <v>65193</v>
      </c>
      <c r="AP47" s="340">
        <f t="shared" si="19"/>
        <v>71509</v>
      </c>
      <c r="AQ47" s="340">
        <f>AQ46-SUM(AQ32:AQ37)</f>
        <v>80227</v>
      </c>
      <c r="AS47" s="164"/>
    </row>
    <row r="48" spans="1:45" s="167" customFormat="1">
      <c r="D48" s="289"/>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S48" s="164"/>
    </row>
    <row r="49" spans="1:45" s="9" customFormat="1">
      <c r="A49" s="6"/>
      <c r="D49" s="287" t="s">
        <v>1</v>
      </c>
      <c r="E49" s="338"/>
      <c r="F49" s="338"/>
      <c r="G49" s="338"/>
      <c r="H49" s="338"/>
      <c r="I49" s="338"/>
      <c r="J49" s="338"/>
      <c r="K49" s="338"/>
      <c r="L49" s="338"/>
      <c r="M49" s="338"/>
      <c r="N49" s="338"/>
      <c r="O49" s="338"/>
      <c r="P49" s="338"/>
      <c r="Q49" s="338"/>
      <c r="R49" s="338"/>
      <c r="S49" s="324"/>
      <c r="T49" s="338"/>
      <c r="U49" s="338"/>
      <c r="V49" s="338"/>
      <c r="W49" s="338"/>
      <c r="X49" s="338"/>
      <c r="Y49" s="338"/>
      <c r="Z49" s="338"/>
      <c r="AA49" s="338"/>
      <c r="AB49" s="338"/>
      <c r="AC49" s="338"/>
      <c r="AD49" s="338"/>
      <c r="AE49" s="338"/>
      <c r="AF49" s="338"/>
      <c r="AG49" s="338"/>
      <c r="AH49" s="338"/>
      <c r="AI49" s="338"/>
      <c r="AJ49" s="338"/>
      <c r="AK49" s="338"/>
      <c r="AL49" s="338"/>
      <c r="AM49" s="338"/>
      <c r="AN49" s="338"/>
      <c r="AO49" s="338"/>
      <c r="AP49" s="338"/>
      <c r="AQ49" s="338"/>
      <c r="AS49" s="164"/>
    </row>
    <row r="50" spans="1:45" s="9" customFormat="1">
      <c r="A50" s="6"/>
      <c r="B50" s="464" t="s">
        <v>1</v>
      </c>
      <c r="D50" s="37" t="s">
        <v>563</v>
      </c>
      <c r="E50" s="330">
        <v>54434</v>
      </c>
      <c r="F50" s="330">
        <v>42822</v>
      </c>
      <c r="G50" s="330">
        <v>51446</v>
      </c>
      <c r="H50" s="330">
        <v>62328</v>
      </c>
      <c r="I50" s="330">
        <v>59265</v>
      </c>
      <c r="J50" s="330"/>
      <c r="K50" s="330">
        <v>40854</v>
      </c>
      <c r="L50" s="330">
        <v>75431.505512347037</v>
      </c>
      <c r="M50" s="330">
        <v>63109</v>
      </c>
      <c r="N50" s="330">
        <v>36779</v>
      </c>
      <c r="O50" s="330">
        <v>34239</v>
      </c>
      <c r="P50" s="330">
        <v>41893</v>
      </c>
      <c r="Q50" s="330">
        <v>42133</v>
      </c>
      <c r="R50" s="330">
        <v>45255</v>
      </c>
      <c r="S50" s="322"/>
      <c r="T50" s="330">
        <v>25274</v>
      </c>
      <c r="U50" s="330">
        <v>26172</v>
      </c>
      <c r="V50" s="330">
        <v>33578</v>
      </c>
      <c r="W50" s="330">
        <v>28750</v>
      </c>
      <c r="X50" s="330">
        <v>31793</v>
      </c>
      <c r="Y50" s="330">
        <v>27472</v>
      </c>
      <c r="Z50" s="330"/>
      <c r="AA50" s="330">
        <v>21467</v>
      </c>
      <c r="AB50" s="330">
        <v>19387</v>
      </c>
      <c r="AC50" s="330">
        <v>38472.716627578957</v>
      </c>
      <c r="AD50" s="330">
        <v>36958.788884768081</v>
      </c>
      <c r="AE50" s="330">
        <v>35089</v>
      </c>
      <c r="AF50" s="330">
        <v>28020</v>
      </c>
      <c r="AG50" s="330">
        <v>20405</v>
      </c>
      <c r="AH50" s="330">
        <v>16374</v>
      </c>
      <c r="AI50" s="330">
        <v>16119</v>
      </c>
      <c r="AJ50" s="330">
        <v>18119.833520615939</v>
      </c>
      <c r="AK50" s="330">
        <v>21762</v>
      </c>
      <c r="AL50" s="330">
        <v>20131</v>
      </c>
      <c r="AM50" s="330">
        <v>22337</v>
      </c>
      <c r="AN50" s="330">
        <v>19796</v>
      </c>
      <c r="AO50" s="330">
        <v>22607</v>
      </c>
      <c r="AP50" s="330">
        <f t="shared" ref="AP50:AP64" si="20">R50-AO50</f>
        <v>22648</v>
      </c>
      <c r="AQ50" s="330">
        <v>23615</v>
      </c>
      <c r="AS50" s="164"/>
    </row>
    <row r="51" spans="1:45" s="9" customFormat="1">
      <c r="B51" s="464"/>
      <c r="D51" s="37" t="s">
        <v>579</v>
      </c>
      <c r="E51" s="330">
        <v>41420</v>
      </c>
      <c r="F51" s="330">
        <v>36241</v>
      </c>
      <c r="G51" s="330">
        <v>44809</v>
      </c>
      <c r="H51" s="330">
        <v>48972</v>
      </c>
      <c r="I51" s="330">
        <v>62855</v>
      </c>
      <c r="J51" s="330"/>
      <c r="K51" s="330">
        <v>41858</v>
      </c>
      <c r="L51" s="330">
        <v>84360.527614990307</v>
      </c>
      <c r="M51" s="330">
        <v>74709</v>
      </c>
      <c r="N51" s="330">
        <v>42080</v>
      </c>
      <c r="O51" s="330">
        <v>34281</v>
      </c>
      <c r="P51" s="330">
        <v>37037</v>
      </c>
      <c r="Q51" s="330">
        <v>34310</v>
      </c>
      <c r="R51" s="330">
        <v>35203</v>
      </c>
      <c r="S51" s="322"/>
      <c r="T51" s="330">
        <v>22947</v>
      </c>
      <c r="U51" s="330">
        <v>21862</v>
      </c>
      <c r="V51" s="330">
        <v>25545</v>
      </c>
      <c r="W51" s="330">
        <v>23427</v>
      </c>
      <c r="X51" s="330">
        <v>27788</v>
      </c>
      <c r="Y51" s="330">
        <v>35067</v>
      </c>
      <c r="Z51" s="330"/>
      <c r="AA51" s="330">
        <v>20464</v>
      </c>
      <c r="AB51" s="330">
        <v>21394</v>
      </c>
      <c r="AC51" s="330">
        <v>42145.234034506655</v>
      </c>
      <c r="AD51" s="330">
        <v>42215.293580483652</v>
      </c>
      <c r="AE51" s="330">
        <v>39185</v>
      </c>
      <c r="AF51" s="330">
        <v>35524</v>
      </c>
      <c r="AG51" s="330">
        <v>22044</v>
      </c>
      <c r="AH51" s="330">
        <v>20036</v>
      </c>
      <c r="AI51" s="330">
        <v>15748</v>
      </c>
      <c r="AJ51" s="330">
        <v>18533</v>
      </c>
      <c r="AK51" s="330">
        <v>18786</v>
      </c>
      <c r="AL51" s="330">
        <v>18251</v>
      </c>
      <c r="AM51" s="330">
        <v>17666.235719938581</v>
      </c>
      <c r="AN51" s="330">
        <v>16643.764280061419</v>
      </c>
      <c r="AO51" s="330">
        <v>17272</v>
      </c>
      <c r="AP51" s="330">
        <f t="shared" si="20"/>
        <v>17931</v>
      </c>
      <c r="AQ51" s="330">
        <v>17396</v>
      </c>
      <c r="AS51" s="164"/>
    </row>
    <row r="52" spans="1:45" s="9" customFormat="1">
      <c r="B52" s="464"/>
      <c r="D52" s="37" t="s">
        <v>719</v>
      </c>
      <c r="E52" s="345" t="s">
        <v>694</v>
      </c>
      <c r="F52" s="345" t="s">
        <v>694</v>
      </c>
      <c r="G52" s="345" t="s">
        <v>694</v>
      </c>
      <c r="H52" s="345" t="s">
        <v>694</v>
      </c>
      <c r="I52" s="345" t="s">
        <v>694</v>
      </c>
      <c r="J52" s="345"/>
      <c r="K52" s="345" t="s">
        <v>694</v>
      </c>
      <c r="L52" s="345" t="s">
        <v>694</v>
      </c>
      <c r="M52" s="345" t="s">
        <v>694</v>
      </c>
      <c r="N52" s="345" t="s">
        <v>694</v>
      </c>
      <c r="O52" s="345" t="s">
        <v>694</v>
      </c>
      <c r="P52" s="345" t="s">
        <v>694</v>
      </c>
      <c r="Q52" s="345" t="s">
        <v>694</v>
      </c>
      <c r="R52" s="330">
        <v>12391</v>
      </c>
      <c r="S52" s="433"/>
      <c r="T52" s="345" t="s">
        <v>694</v>
      </c>
      <c r="U52" s="345" t="s">
        <v>694</v>
      </c>
      <c r="V52" s="345" t="s">
        <v>694</v>
      </c>
      <c r="W52" s="345" t="s">
        <v>694</v>
      </c>
      <c r="X52" s="345" t="s">
        <v>694</v>
      </c>
      <c r="Y52" s="345" t="s">
        <v>694</v>
      </c>
      <c r="Z52" s="345"/>
      <c r="AA52" s="345" t="s">
        <v>694</v>
      </c>
      <c r="AB52" s="345" t="s">
        <v>694</v>
      </c>
      <c r="AC52" s="345" t="s">
        <v>694</v>
      </c>
      <c r="AD52" s="345" t="s">
        <v>694</v>
      </c>
      <c r="AE52" s="345" t="s">
        <v>694</v>
      </c>
      <c r="AF52" s="345" t="s">
        <v>694</v>
      </c>
      <c r="AG52" s="345" t="s">
        <v>694</v>
      </c>
      <c r="AH52" s="345" t="s">
        <v>694</v>
      </c>
      <c r="AI52" s="345" t="s">
        <v>694</v>
      </c>
      <c r="AJ52" s="345" t="s">
        <v>694</v>
      </c>
      <c r="AK52" s="345" t="s">
        <v>694</v>
      </c>
      <c r="AL52" s="345" t="s">
        <v>694</v>
      </c>
      <c r="AM52" s="345" t="s">
        <v>694</v>
      </c>
      <c r="AN52" s="345" t="s">
        <v>694</v>
      </c>
      <c r="AO52" s="348">
        <v>5961</v>
      </c>
      <c r="AP52" s="348">
        <f t="shared" si="20"/>
        <v>6430</v>
      </c>
      <c r="AQ52" s="330">
        <v>6126</v>
      </c>
      <c r="AS52" s="164"/>
    </row>
    <row r="53" spans="1:45" s="9" customFormat="1">
      <c r="B53" s="464"/>
      <c r="D53" s="37" t="s">
        <v>56</v>
      </c>
      <c r="E53" s="330">
        <v>13174</v>
      </c>
      <c r="F53" s="330">
        <v>7617</v>
      </c>
      <c r="G53" s="330">
        <v>7583</v>
      </c>
      <c r="H53" s="330">
        <v>8075</v>
      </c>
      <c r="I53" s="330">
        <v>7180</v>
      </c>
      <c r="J53" s="330"/>
      <c r="K53" s="330">
        <v>5669</v>
      </c>
      <c r="L53" s="330">
        <v>29314.443125216036</v>
      </c>
      <c r="M53" s="330">
        <v>24237</v>
      </c>
      <c r="N53" s="330">
        <v>14473</v>
      </c>
      <c r="O53" s="330">
        <v>13205</v>
      </c>
      <c r="P53" s="330">
        <v>12938</v>
      </c>
      <c r="Q53" s="330">
        <v>12855</v>
      </c>
      <c r="R53" s="330">
        <v>1102</v>
      </c>
      <c r="S53" s="322"/>
      <c r="T53" s="330">
        <v>3860</v>
      </c>
      <c r="U53" s="330">
        <v>3723</v>
      </c>
      <c r="V53" s="330">
        <v>4008</v>
      </c>
      <c r="W53" s="330">
        <v>4067</v>
      </c>
      <c r="X53" s="330">
        <v>3649</v>
      </c>
      <c r="Y53" s="330">
        <v>3531</v>
      </c>
      <c r="Z53" s="330"/>
      <c r="AA53" s="330">
        <v>2881</v>
      </c>
      <c r="AB53" s="330">
        <v>2788</v>
      </c>
      <c r="AC53" s="330">
        <v>14704.428674869898</v>
      </c>
      <c r="AD53" s="330">
        <v>14610.014450346138</v>
      </c>
      <c r="AE53" s="330">
        <v>13586</v>
      </c>
      <c r="AF53" s="330">
        <v>10651</v>
      </c>
      <c r="AG53" s="330">
        <v>7650</v>
      </c>
      <c r="AH53" s="330">
        <v>6823</v>
      </c>
      <c r="AI53" s="330">
        <v>6226</v>
      </c>
      <c r="AJ53" s="330">
        <v>6979.0705416587734</v>
      </c>
      <c r="AK53" s="330">
        <v>6519</v>
      </c>
      <c r="AL53" s="330">
        <v>6419</v>
      </c>
      <c r="AM53" s="330">
        <v>6699</v>
      </c>
      <c r="AN53" s="330">
        <v>6156</v>
      </c>
      <c r="AO53" s="330">
        <v>506</v>
      </c>
      <c r="AP53" s="330">
        <f t="shared" si="20"/>
        <v>596</v>
      </c>
      <c r="AQ53" s="330">
        <v>314</v>
      </c>
      <c r="AS53" s="164"/>
    </row>
    <row r="54" spans="1:45" s="9" customFormat="1">
      <c r="B54" s="464"/>
      <c r="D54" s="37" t="s">
        <v>580</v>
      </c>
      <c r="E54" s="330">
        <v>14301</v>
      </c>
      <c r="F54" s="330">
        <v>0</v>
      </c>
      <c r="G54" s="330">
        <v>0</v>
      </c>
      <c r="H54" s="330">
        <v>0</v>
      </c>
      <c r="I54" s="330">
        <v>51541</v>
      </c>
      <c r="J54" s="330"/>
      <c r="K54" s="330">
        <v>0</v>
      </c>
      <c r="L54" s="330">
        <v>4222</v>
      </c>
      <c r="M54" s="330">
        <v>0</v>
      </c>
      <c r="N54" s="330">
        <v>46686</v>
      </c>
      <c r="O54" s="330">
        <v>0</v>
      </c>
      <c r="P54" s="330">
        <v>11400</v>
      </c>
      <c r="Q54" s="330">
        <v>0</v>
      </c>
      <c r="R54" s="330">
        <v>0</v>
      </c>
      <c r="S54" s="322"/>
      <c r="T54" s="330">
        <v>0</v>
      </c>
      <c r="U54" s="330">
        <v>0</v>
      </c>
      <c r="V54" s="330">
        <v>0</v>
      </c>
      <c r="W54" s="330">
        <v>0</v>
      </c>
      <c r="X54" s="330">
        <v>0</v>
      </c>
      <c r="Y54" s="330">
        <v>51541</v>
      </c>
      <c r="Z54" s="330"/>
      <c r="AA54" s="330">
        <v>0</v>
      </c>
      <c r="AB54" s="330">
        <v>0</v>
      </c>
      <c r="AC54" s="330">
        <v>0</v>
      </c>
      <c r="AD54" s="330">
        <v>4222</v>
      </c>
      <c r="AE54" s="330">
        <v>0</v>
      </c>
      <c r="AF54" s="330">
        <v>0</v>
      </c>
      <c r="AG54" s="330">
        <v>46686</v>
      </c>
      <c r="AH54" s="330">
        <v>0</v>
      </c>
      <c r="AI54" s="330">
        <v>0</v>
      </c>
      <c r="AJ54" s="330">
        <v>0</v>
      </c>
      <c r="AK54" s="330">
        <v>11400</v>
      </c>
      <c r="AL54" s="330">
        <v>0</v>
      </c>
      <c r="AM54" s="330">
        <v>0</v>
      </c>
      <c r="AN54" s="330">
        <v>0</v>
      </c>
      <c r="AO54" s="330">
        <v>0</v>
      </c>
      <c r="AP54" s="330">
        <f t="shared" si="20"/>
        <v>0</v>
      </c>
      <c r="AQ54" s="330">
        <v>0</v>
      </c>
      <c r="AS54" s="164"/>
    </row>
    <row r="55" spans="1:45" s="9" customFormat="1">
      <c r="B55" s="464"/>
      <c r="D55" s="37" t="s">
        <v>581</v>
      </c>
      <c r="E55" s="330">
        <v>0</v>
      </c>
      <c r="F55" s="330">
        <v>0</v>
      </c>
      <c r="G55" s="330">
        <v>0</v>
      </c>
      <c r="H55" s="330">
        <v>0</v>
      </c>
      <c r="I55" s="330">
        <v>0</v>
      </c>
      <c r="J55" s="330"/>
      <c r="K55" s="330">
        <v>0</v>
      </c>
      <c r="L55" s="330">
        <v>0</v>
      </c>
      <c r="M55" s="330">
        <v>0</v>
      </c>
      <c r="N55" s="330">
        <v>0</v>
      </c>
      <c r="O55" s="330">
        <v>67532</v>
      </c>
      <c r="P55" s="330">
        <v>0</v>
      </c>
      <c r="Q55" s="330">
        <v>0</v>
      </c>
      <c r="R55" s="330">
        <v>0</v>
      </c>
      <c r="S55" s="322"/>
      <c r="T55" s="330">
        <v>0</v>
      </c>
      <c r="U55" s="330">
        <v>0</v>
      </c>
      <c r="V55" s="330">
        <v>0</v>
      </c>
      <c r="W55" s="330">
        <v>0</v>
      </c>
      <c r="X55" s="330">
        <v>0</v>
      </c>
      <c r="Y55" s="330">
        <v>0</v>
      </c>
      <c r="Z55" s="330"/>
      <c r="AA55" s="330">
        <v>0</v>
      </c>
      <c r="AB55" s="330">
        <v>0</v>
      </c>
      <c r="AC55" s="330">
        <v>0</v>
      </c>
      <c r="AD55" s="330">
        <v>0</v>
      </c>
      <c r="AE55" s="330">
        <v>0</v>
      </c>
      <c r="AF55" s="330">
        <v>0</v>
      </c>
      <c r="AG55" s="330">
        <v>0</v>
      </c>
      <c r="AH55" s="330">
        <v>0</v>
      </c>
      <c r="AI55" s="330">
        <v>0</v>
      </c>
      <c r="AJ55" s="330">
        <v>67531.998977935757</v>
      </c>
      <c r="AK55" s="330">
        <v>0</v>
      </c>
      <c r="AL55" s="330">
        <v>0</v>
      </c>
      <c r="AM55" s="330">
        <v>0</v>
      </c>
      <c r="AN55" s="330">
        <v>0</v>
      </c>
      <c r="AO55" s="330">
        <v>0</v>
      </c>
      <c r="AP55" s="330">
        <f t="shared" si="20"/>
        <v>0</v>
      </c>
      <c r="AQ55" s="330">
        <v>0</v>
      </c>
      <c r="AS55" s="164"/>
    </row>
    <row r="56" spans="1:45" s="9" customFormat="1">
      <c r="B56" s="464"/>
      <c r="D56" s="37" t="s">
        <v>662</v>
      </c>
      <c r="E56" s="330">
        <v>17759</v>
      </c>
      <c r="F56" s="330">
        <v>0</v>
      </c>
      <c r="G56" s="330">
        <v>0</v>
      </c>
      <c r="H56" s="330">
        <v>0</v>
      </c>
      <c r="I56" s="330">
        <v>6484</v>
      </c>
      <c r="J56" s="330"/>
      <c r="K56" s="330">
        <v>0</v>
      </c>
      <c r="L56" s="330">
        <v>0</v>
      </c>
      <c r="M56" s="330">
        <v>0</v>
      </c>
      <c r="N56" s="337">
        <v>0</v>
      </c>
      <c r="O56" s="330">
        <v>0</v>
      </c>
      <c r="P56" s="330">
        <v>0</v>
      </c>
      <c r="Q56" s="330">
        <v>0</v>
      </c>
      <c r="R56" s="330">
        <v>0</v>
      </c>
      <c r="S56" s="322"/>
      <c r="T56" s="330">
        <v>0</v>
      </c>
      <c r="U56" s="330">
        <v>0</v>
      </c>
      <c r="V56" s="330">
        <v>0</v>
      </c>
      <c r="W56" s="330">
        <v>0</v>
      </c>
      <c r="X56" s="330">
        <v>0</v>
      </c>
      <c r="Y56" s="330">
        <v>6484</v>
      </c>
      <c r="Z56" s="330"/>
      <c r="AA56" s="330">
        <v>0</v>
      </c>
      <c r="AB56" s="330">
        <v>0</v>
      </c>
      <c r="AC56" s="330">
        <v>0</v>
      </c>
      <c r="AD56" s="330">
        <v>0</v>
      </c>
      <c r="AE56" s="330">
        <v>0</v>
      </c>
      <c r="AF56" s="330">
        <v>0</v>
      </c>
      <c r="AG56" s="330">
        <v>0</v>
      </c>
      <c r="AH56" s="330">
        <v>0</v>
      </c>
      <c r="AI56" s="330">
        <v>0</v>
      </c>
      <c r="AJ56" s="330">
        <v>0</v>
      </c>
      <c r="AK56" s="330">
        <v>0</v>
      </c>
      <c r="AL56" s="330">
        <v>0</v>
      </c>
      <c r="AM56" s="330">
        <v>0</v>
      </c>
      <c r="AN56" s="330">
        <v>0</v>
      </c>
      <c r="AO56" s="330">
        <v>0</v>
      </c>
      <c r="AP56" s="330">
        <f t="shared" si="20"/>
        <v>0</v>
      </c>
      <c r="AQ56" s="330">
        <v>0</v>
      </c>
      <c r="AS56" s="164"/>
    </row>
    <row r="57" spans="1:45" s="9" customFormat="1">
      <c r="B57" s="464"/>
      <c r="D57" s="37" t="s">
        <v>564</v>
      </c>
      <c r="E57" s="330">
        <v>42013</v>
      </c>
      <c r="F57" s="330">
        <v>33255</v>
      </c>
      <c r="G57" s="330">
        <v>43338</v>
      </c>
      <c r="H57" s="330">
        <v>50000</v>
      </c>
      <c r="I57" s="330">
        <v>41668</v>
      </c>
      <c r="J57" s="330"/>
      <c r="K57" s="330">
        <v>12692</v>
      </c>
      <c r="L57" s="330">
        <v>12958.671947521758</v>
      </c>
      <c r="M57" s="330">
        <v>10826</v>
      </c>
      <c r="N57" s="330">
        <v>6300</v>
      </c>
      <c r="O57" s="330">
        <v>6642</v>
      </c>
      <c r="P57" s="330">
        <v>8346</v>
      </c>
      <c r="Q57" s="330">
        <v>6856</v>
      </c>
      <c r="R57" s="330">
        <v>15662</v>
      </c>
      <c r="S57" s="322"/>
      <c r="T57" s="330">
        <v>21716</v>
      </c>
      <c r="U57" s="330">
        <v>21622</v>
      </c>
      <c r="V57" s="330">
        <v>26107</v>
      </c>
      <c r="W57" s="330">
        <v>23893</v>
      </c>
      <c r="X57" s="330">
        <v>22743</v>
      </c>
      <c r="Y57" s="330">
        <v>18925</v>
      </c>
      <c r="Z57" s="330"/>
      <c r="AA57" s="330">
        <v>6949</v>
      </c>
      <c r="AB57" s="330">
        <v>5743</v>
      </c>
      <c r="AC57" s="330">
        <v>7717.5053625148448</v>
      </c>
      <c r="AD57" s="330">
        <v>5241.166585006913</v>
      </c>
      <c r="AE57" s="330">
        <v>6040</v>
      </c>
      <c r="AF57" s="330">
        <v>4786</v>
      </c>
      <c r="AG57" s="330">
        <v>3185</v>
      </c>
      <c r="AH57" s="330">
        <v>3115</v>
      </c>
      <c r="AI57" s="330">
        <v>3141</v>
      </c>
      <c r="AJ57" s="330">
        <v>3501.0456653501697</v>
      </c>
      <c r="AK57" s="330">
        <v>4050</v>
      </c>
      <c r="AL57" s="330">
        <v>4296</v>
      </c>
      <c r="AM57" s="330">
        <v>4430.5293020328563</v>
      </c>
      <c r="AN57" s="330">
        <v>2425.4706979671437</v>
      </c>
      <c r="AO57" s="330">
        <v>4028</v>
      </c>
      <c r="AP57" s="330">
        <f t="shared" si="20"/>
        <v>11634</v>
      </c>
      <c r="AQ57" s="330">
        <v>23020</v>
      </c>
      <c r="AS57" s="164"/>
    </row>
    <row r="58" spans="1:45" s="125" customFormat="1">
      <c r="B58" s="464"/>
      <c r="D58" s="37" t="s">
        <v>565</v>
      </c>
      <c r="E58" s="330">
        <v>22083</v>
      </c>
      <c r="F58" s="330">
        <v>13518</v>
      </c>
      <c r="G58" s="330">
        <v>19048</v>
      </c>
      <c r="H58" s="330">
        <v>25234</v>
      </c>
      <c r="I58" s="330">
        <v>25369</v>
      </c>
      <c r="J58" s="330"/>
      <c r="K58" s="330">
        <v>7427</v>
      </c>
      <c r="L58" s="330">
        <v>14806.59116489279</v>
      </c>
      <c r="M58" s="330">
        <v>12162</v>
      </c>
      <c r="N58" s="330">
        <v>6263</v>
      </c>
      <c r="O58" s="330">
        <v>5731</v>
      </c>
      <c r="P58" s="330">
        <v>7573</v>
      </c>
      <c r="Q58" s="330">
        <v>8780</v>
      </c>
      <c r="R58" s="330">
        <v>9549</v>
      </c>
      <c r="S58" s="322"/>
      <c r="T58" s="330">
        <v>9640</v>
      </c>
      <c r="U58" s="330">
        <v>9408</v>
      </c>
      <c r="V58" s="330">
        <v>13256</v>
      </c>
      <c r="W58" s="330">
        <v>11978</v>
      </c>
      <c r="X58" s="330">
        <v>14228</v>
      </c>
      <c r="Y58" s="330">
        <v>11141</v>
      </c>
      <c r="Z58" s="330"/>
      <c r="AA58" s="330">
        <v>3871</v>
      </c>
      <c r="AB58" s="330">
        <v>3556</v>
      </c>
      <c r="AC58" s="330">
        <v>7841.0404079566997</v>
      </c>
      <c r="AD58" s="330">
        <v>6965.5507569360907</v>
      </c>
      <c r="AE58" s="330">
        <v>7116</v>
      </c>
      <c r="AF58" s="330">
        <v>5046</v>
      </c>
      <c r="AG58" s="330">
        <v>3423</v>
      </c>
      <c r="AH58" s="330">
        <v>2840</v>
      </c>
      <c r="AI58" s="330">
        <v>2721</v>
      </c>
      <c r="AJ58" s="330">
        <v>3010.3886063446598</v>
      </c>
      <c r="AK58" s="330">
        <v>3757</v>
      </c>
      <c r="AL58" s="330">
        <v>3816</v>
      </c>
      <c r="AM58" s="330">
        <v>4681.2078143664476</v>
      </c>
      <c r="AN58" s="330">
        <v>4098.7921856335524</v>
      </c>
      <c r="AO58" s="330">
        <v>4915</v>
      </c>
      <c r="AP58" s="330">
        <f t="shared" si="20"/>
        <v>4634</v>
      </c>
      <c r="AQ58" s="330">
        <v>4515</v>
      </c>
      <c r="AS58" s="164"/>
    </row>
    <row r="59" spans="1:45" s="125" customFormat="1">
      <c r="B59" s="464"/>
      <c r="D59" s="36" t="s">
        <v>577</v>
      </c>
      <c r="E59" s="330">
        <v>10958</v>
      </c>
      <c r="F59" s="330">
        <v>6110</v>
      </c>
      <c r="G59" s="330">
        <v>11210</v>
      </c>
      <c r="H59" s="330">
        <v>12990</v>
      </c>
      <c r="I59" s="330">
        <v>12832</v>
      </c>
      <c r="J59" s="330"/>
      <c r="K59" s="330">
        <v>8464</v>
      </c>
      <c r="L59" s="330">
        <v>13397.750391296806</v>
      </c>
      <c r="M59" s="330">
        <v>11669</v>
      </c>
      <c r="N59" s="330">
        <v>6454</v>
      </c>
      <c r="O59" s="330">
        <v>6232</v>
      </c>
      <c r="P59" s="330">
        <v>7085</v>
      </c>
      <c r="Q59" s="330">
        <v>7400</v>
      </c>
      <c r="R59" s="330">
        <v>6324</v>
      </c>
      <c r="S59" s="322"/>
      <c r="T59" s="330">
        <v>5002</v>
      </c>
      <c r="U59" s="330">
        <v>6208</v>
      </c>
      <c r="V59" s="330">
        <v>5056</v>
      </c>
      <c r="W59" s="330">
        <v>7934</v>
      </c>
      <c r="X59" s="330">
        <v>6747</v>
      </c>
      <c r="Y59" s="330">
        <v>6085</v>
      </c>
      <c r="Z59" s="330"/>
      <c r="AA59" s="330">
        <v>4008</v>
      </c>
      <c r="AB59" s="330">
        <v>4456</v>
      </c>
      <c r="AC59" s="330">
        <v>6379.2360912852137</v>
      </c>
      <c r="AD59" s="330">
        <v>7018.5143000115922</v>
      </c>
      <c r="AE59" s="330">
        <v>4899</v>
      </c>
      <c r="AF59" s="330">
        <v>6770</v>
      </c>
      <c r="AG59" s="330">
        <v>2704</v>
      </c>
      <c r="AH59" s="330">
        <v>3750</v>
      </c>
      <c r="AI59" s="330">
        <v>2584</v>
      </c>
      <c r="AJ59" s="330">
        <v>3647.7041949140375</v>
      </c>
      <c r="AK59" s="330">
        <v>3235</v>
      </c>
      <c r="AL59" s="330">
        <v>3850</v>
      </c>
      <c r="AM59" s="330">
        <v>3184.1501989623625</v>
      </c>
      <c r="AN59" s="330">
        <v>4215.849801037637</v>
      </c>
      <c r="AO59" s="330">
        <v>2034</v>
      </c>
      <c r="AP59" s="330">
        <f t="shared" si="20"/>
        <v>4290</v>
      </c>
      <c r="AQ59" s="330">
        <v>2208</v>
      </c>
      <c r="AS59" s="164"/>
    </row>
    <row r="60" spans="1:45" s="9" customFormat="1">
      <c r="B60" s="464"/>
      <c r="D60" s="37" t="s">
        <v>567</v>
      </c>
      <c r="E60" s="330">
        <v>3755</v>
      </c>
      <c r="F60" s="330">
        <v>4830</v>
      </c>
      <c r="G60" s="330">
        <v>5422</v>
      </c>
      <c r="H60" s="330">
        <v>6540</v>
      </c>
      <c r="I60" s="330">
        <v>6893.1670098828781</v>
      </c>
      <c r="J60" s="330"/>
      <c r="K60" s="330">
        <v>6134</v>
      </c>
      <c r="L60" s="330">
        <v>10099.561399420036</v>
      </c>
      <c r="M60" s="330">
        <v>8522</v>
      </c>
      <c r="N60" s="330">
        <v>4829</v>
      </c>
      <c r="O60" s="330">
        <v>4337</v>
      </c>
      <c r="P60" s="330">
        <v>5183</v>
      </c>
      <c r="Q60" s="330">
        <v>4952</v>
      </c>
      <c r="R60" s="330">
        <v>2455</v>
      </c>
      <c r="S60" s="322"/>
      <c r="T60" s="330">
        <v>2451</v>
      </c>
      <c r="U60" s="330">
        <v>2971</v>
      </c>
      <c r="V60" s="330">
        <v>3417</v>
      </c>
      <c r="W60" s="330">
        <v>3123</v>
      </c>
      <c r="X60" s="330">
        <v>3407</v>
      </c>
      <c r="Y60" s="330">
        <v>3486.1670098828781</v>
      </c>
      <c r="Z60" s="330"/>
      <c r="AA60" s="330">
        <v>3059</v>
      </c>
      <c r="AB60" s="330">
        <v>3075</v>
      </c>
      <c r="AC60" s="330">
        <v>4997.2153010059446</v>
      </c>
      <c r="AD60" s="330">
        <v>5102.3460984140911</v>
      </c>
      <c r="AE60" s="330">
        <v>4621</v>
      </c>
      <c r="AF60" s="330">
        <v>3901</v>
      </c>
      <c r="AG60" s="330">
        <v>2851</v>
      </c>
      <c r="AH60" s="330">
        <v>1978</v>
      </c>
      <c r="AI60" s="330">
        <v>1953</v>
      </c>
      <c r="AJ60" s="330">
        <v>2384.3209675373209</v>
      </c>
      <c r="AK60" s="330">
        <v>2258</v>
      </c>
      <c r="AL60" s="330">
        <v>2925</v>
      </c>
      <c r="AM60" s="330">
        <v>2464.3621512570712</v>
      </c>
      <c r="AN60" s="330">
        <v>2487.6378487429288</v>
      </c>
      <c r="AO60" s="330">
        <v>1277</v>
      </c>
      <c r="AP60" s="330">
        <f t="shared" si="20"/>
        <v>1178</v>
      </c>
      <c r="AQ60" s="330">
        <v>1247</v>
      </c>
      <c r="AS60" s="164"/>
    </row>
    <row r="61" spans="1:45" s="9" customFormat="1">
      <c r="B61" s="464"/>
      <c r="D61" s="37" t="s">
        <v>568</v>
      </c>
      <c r="E61" s="330">
        <v>4465</v>
      </c>
      <c r="F61" s="330">
        <v>4356</v>
      </c>
      <c r="G61" s="330">
        <v>4599</v>
      </c>
      <c r="H61" s="330">
        <v>5524</v>
      </c>
      <c r="I61" s="330">
        <v>4638.198161719014</v>
      </c>
      <c r="J61" s="330"/>
      <c r="K61" s="330">
        <v>223</v>
      </c>
      <c r="L61" s="330">
        <v>6197.2646087871972</v>
      </c>
      <c r="M61" s="330">
        <v>4805</v>
      </c>
      <c r="N61" s="330">
        <v>3015</v>
      </c>
      <c r="O61" s="330">
        <v>2637</v>
      </c>
      <c r="P61" s="330">
        <v>2958</v>
      </c>
      <c r="Q61" s="330">
        <v>2827</v>
      </c>
      <c r="R61" s="330">
        <v>289</v>
      </c>
      <c r="S61" s="322"/>
      <c r="T61" s="330">
        <v>2106</v>
      </c>
      <c r="U61" s="330">
        <v>2493</v>
      </c>
      <c r="V61" s="330">
        <v>2565</v>
      </c>
      <c r="W61" s="330">
        <v>2959</v>
      </c>
      <c r="X61" s="330">
        <v>2984</v>
      </c>
      <c r="Y61" s="330">
        <v>1654.198161719014</v>
      </c>
      <c r="Z61" s="330"/>
      <c r="AA61" s="330">
        <v>95</v>
      </c>
      <c r="AB61" s="330">
        <v>128</v>
      </c>
      <c r="AC61" s="330">
        <v>2548.5152347042226</v>
      </c>
      <c r="AD61" s="330">
        <v>3648.7493740829746</v>
      </c>
      <c r="AE61" s="330">
        <v>2568</v>
      </c>
      <c r="AF61" s="330">
        <v>2237</v>
      </c>
      <c r="AG61" s="330">
        <v>1659</v>
      </c>
      <c r="AH61" s="330">
        <v>1356</v>
      </c>
      <c r="AI61" s="330">
        <v>1124</v>
      </c>
      <c r="AJ61" s="330">
        <v>1513.2554455378831</v>
      </c>
      <c r="AK61" s="330">
        <v>1524</v>
      </c>
      <c r="AL61" s="330">
        <v>1434</v>
      </c>
      <c r="AM61" s="330">
        <v>1534.909048023148</v>
      </c>
      <c r="AN61" s="330">
        <v>1292.090951976852</v>
      </c>
      <c r="AO61" s="330">
        <v>150</v>
      </c>
      <c r="AP61" s="330">
        <f t="shared" si="20"/>
        <v>139</v>
      </c>
      <c r="AQ61" s="330">
        <v>63</v>
      </c>
      <c r="AS61" s="164"/>
    </row>
    <row r="62" spans="1:45" s="9" customFormat="1">
      <c r="B62" s="464"/>
      <c r="D62" s="37" t="s">
        <v>569</v>
      </c>
      <c r="E62" s="330">
        <v>8829</v>
      </c>
      <c r="F62" s="330">
        <v>3491</v>
      </c>
      <c r="G62" s="330">
        <v>2902</v>
      </c>
      <c r="H62" s="330">
        <v>8101</v>
      </c>
      <c r="I62" s="330">
        <v>9449.344881226818</v>
      </c>
      <c r="J62" s="330"/>
      <c r="K62" s="330">
        <v>7725</v>
      </c>
      <c r="L62" s="330">
        <v>12384.747315111863</v>
      </c>
      <c r="M62" s="330">
        <v>7624</v>
      </c>
      <c r="N62" s="330">
        <v>4564</v>
      </c>
      <c r="O62" s="330">
        <v>5311</v>
      </c>
      <c r="P62" s="330">
        <v>6849</v>
      </c>
      <c r="Q62" s="330">
        <v>8310</v>
      </c>
      <c r="R62" s="330">
        <v>14298</v>
      </c>
      <c r="S62" s="322"/>
      <c r="T62" s="330">
        <v>1293</v>
      </c>
      <c r="U62" s="330">
        <v>1609</v>
      </c>
      <c r="V62" s="330">
        <v>4562</v>
      </c>
      <c r="W62" s="330">
        <v>3539</v>
      </c>
      <c r="X62" s="330">
        <v>4432</v>
      </c>
      <c r="Y62" s="330">
        <v>5017.344881226818</v>
      </c>
      <c r="Z62" s="330"/>
      <c r="AA62" s="330">
        <v>3798</v>
      </c>
      <c r="AB62" s="330">
        <v>3927</v>
      </c>
      <c r="AC62" s="330">
        <v>4941.2159081146328</v>
      </c>
      <c r="AD62" s="330">
        <v>7443.5314069972301</v>
      </c>
      <c r="AE62" s="330">
        <v>4255</v>
      </c>
      <c r="AF62" s="330">
        <v>3369</v>
      </c>
      <c r="AG62" s="330">
        <v>2398</v>
      </c>
      <c r="AH62" s="330">
        <v>2166</v>
      </c>
      <c r="AI62" s="330">
        <v>2352</v>
      </c>
      <c r="AJ62" s="330">
        <v>2958.5062688738626</v>
      </c>
      <c r="AK62" s="330">
        <v>3211</v>
      </c>
      <c r="AL62" s="330">
        <v>3638</v>
      </c>
      <c r="AM62" s="330">
        <v>4094.874016679099</v>
      </c>
      <c r="AN62" s="330">
        <v>4215.1259833209006</v>
      </c>
      <c r="AO62" s="330">
        <v>7480</v>
      </c>
      <c r="AP62" s="330">
        <f t="shared" si="20"/>
        <v>6818</v>
      </c>
      <c r="AQ62" s="330">
        <v>7735</v>
      </c>
      <c r="AS62" s="164"/>
    </row>
    <row r="63" spans="1:45" s="9" customFormat="1">
      <c r="A63" s="6"/>
      <c r="B63" s="464"/>
      <c r="D63" s="285" t="s">
        <v>570</v>
      </c>
      <c r="E63" s="335">
        <v>11059</v>
      </c>
      <c r="F63" s="335">
        <v>8188</v>
      </c>
      <c r="G63" s="335">
        <v>8152</v>
      </c>
      <c r="H63" s="335">
        <v>9864</v>
      </c>
      <c r="I63" s="335">
        <v>11632.721677879603</v>
      </c>
      <c r="J63" s="335"/>
      <c r="K63" s="335">
        <v>5933</v>
      </c>
      <c r="L63" s="330">
        <v>22125.204592733953</v>
      </c>
      <c r="M63" s="335">
        <v>13813</v>
      </c>
      <c r="N63" s="335">
        <v>4924</v>
      </c>
      <c r="O63" s="335">
        <v>5917</v>
      </c>
      <c r="P63" s="335">
        <v>7249</v>
      </c>
      <c r="Q63" s="335">
        <v>7597</v>
      </c>
      <c r="R63" s="335">
        <v>9291</v>
      </c>
      <c r="S63" s="322">
        <v>0</v>
      </c>
      <c r="T63" s="335">
        <v>3981</v>
      </c>
      <c r="U63" s="335">
        <v>4171</v>
      </c>
      <c r="V63" s="335">
        <v>5182</v>
      </c>
      <c r="W63" s="335">
        <v>4682</v>
      </c>
      <c r="X63" s="335">
        <v>4578</v>
      </c>
      <c r="Y63" s="335">
        <v>7054.7216778796019</v>
      </c>
      <c r="Z63" s="335"/>
      <c r="AA63" s="335">
        <v>3367</v>
      </c>
      <c r="AB63" s="335">
        <v>2566</v>
      </c>
      <c r="AC63" s="330">
        <v>12657.776324794271</v>
      </c>
      <c r="AD63" s="330">
        <v>9467.428267939682</v>
      </c>
      <c r="AE63" s="335">
        <v>6069</v>
      </c>
      <c r="AF63" s="335">
        <v>7744</v>
      </c>
      <c r="AG63" s="335">
        <v>3267</v>
      </c>
      <c r="AH63" s="335">
        <v>1657</v>
      </c>
      <c r="AI63" s="335">
        <v>3088.9999999999986</v>
      </c>
      <c r="AJ63" s="335">
        <v>2828</v>
      </c>
      <c r="AK63" s="335">
        <v>3423.0000000000018</v>
      </c>
      <c r="AL63" s="335">
        <v>3825.9999999999982</v>
      </c>
      <c r="AM63" s="335">
        <v>3574</v>
      </c>
      <c r="AN63" s="335">
        <v>4023</v>
      </c>
      <c r="AO63" s="335">
        <v>4524</v>
      </c>
      <c r="AP63" s="335">
        <f t="shared" si="20"/>
        <v>4767</v>
      </c>
      <c r="AQ63" s="330">
        <v>3681</v>
      </c>
      <c r="AS63" s="164"/>
    </row>
    <row r="64" spans="1:45" s="9" customFormat="1">
      <c r="A64" s="6"/>
      <c r="B64" s="464"/>
      <c r="D64" s="283" t="s">
        <v>578</v>
      </c>
      <c r="E64" s="332">
        <f>SUM(E50:E63)</f>
        <v>244250</v>
      </c>
      <c r="F64" s="332">
        <v>160429</v>
      </c>
      <c r="G64" s="332">
        <f>SUM(G50:G63)</f>
        <v>198509</v>
      </c>
      <c r="H64" s="332">
        <f>SUM(H50:H63)</f>
        <v>237628</v>
      </c>
      <c r="I64" s="332">
        <f>SUM(I50:I63)</f>
        <v>299807.43173070834</v>
      </c>
      <c r="J64" s="332"/>
      <c r="K64" s="332">
        <f t="shared" ref="K64:R64" si="21">SUM(K50:K63)</f>
        <v>136979</v>
      </c>
      <c r="L64" s="332">
        <f t="shared" si="21"/>
        <v>285298.2676723178</v>
      </c>
      <c r="M64" s="332">
        <f t="shared" si="21"/>
        <v>231476</v>
      </c>
      <c r="N64" s="332">
        <f t="shared" si="21"/>
        <v>176367</v>
      </c>
      <c r="O64" s="332">
        <f t="shared" si="21"/>
        <v>186064</v>
      </c>
      <c r="P64" s="332">
        <f t="shared" si="21"/>
        <v>148511</v>
      </c>
      <c r="Q64" s="332">
        <f t="shared" si="21"/>
        <v>136020</v>
      </c>
      <c r="R64" s="332">
        <f t="shared" si="21"/>
        <v>151819</v>
      </c>
      <c r="S64" s="324"/>
      <c r="T64" s="332">
        <f t="shared" ref="T64:Y64" si="22">SUM(T50:T63)</f>
        <v>98270</v>
      </c>
      <c r="U64" s="332">
        <f t="shared" si="22"/>
        <v>100239</v>
      </c>
      <c r="V64" s="332">
        <f t="shared" si="22"/>
        <v>123276</v>
      </c>
      <c r="W64" s="332">
        <f t="shared" si="22"/>
        <v>114352</v>
      </c>
      <c r="X64" s="332">
        <f t="shared" si="22"/>
        <v>122349</v>
      </c>
      <c r="Y64" s="332">
        <f t="shared" si="22"/>
        <v>177458.43173070831</v>
      </c>
      <c r="Z64" s="332"/>
      <c r="AA64" s="332">
        <f t="shared" ref="AA64:AO64" si="23">SUM(AA50:AA63)</f>
        <v>69959</v>
      </c>
      <c r="AB64" s="332">
        <f t="shared" si="23"/>
        <v>67020</v>
      </c>
      <c r="AC64" s="332">
        <f t="shared" si="23"/>
        <v>142404.88396733132</v>
      </c>
      <c r="AD64" s="332">
        <f t="shared" si="23"/>
        <v>142893.38370498645</v>
      </c>
      <c r="AE64" s="332">
        <f t="shared" si="23"/>
        <v>123428</v>
      </c>
      <c r="AF64" s="332">
        <f t="shared" si="23"/>
        <v>108048</v>
      </c>
      <c r="AG64" s="332">
        <f t="shared" si="23"/>
        <v>116272</v>
      </c>
      <c r="AH64" s="332">
        <f t="shared" si="23"/>
        <v>60095</v>
      </c>
      <c r="AI64" s="332">
        <f t="shared" si="23"/>
        <v>55057</v>
      </c>
      <c r="AJ64" s="332">
        <f t="shared" si="23"/>
        <v>131007.12418876842</v>
      </c>
      <c r="AK64" s="332">
        <f t="shared" si="23"/>
        <v>79925</v>
      </c>
      <c r="AL64" s="332">
        <f t="shared" si="23"/>
        <v>68586</v>
      </c>
      <c r="AM64" s="332">
        <f t="shared" si="23"/>
        <v>70666.268251259564</v>
      </c>
      <c r="AN64" s="332">
        <f t="shared" si="23"/>
        <v>65353.731748740436</v>
      </c>
      <c r="AO64" s="332">
        <f t="shared" si="23"/>
        <v>70754</v>
      </c>
      <c r="AP64" s="332">
        <f t="shared" si="20"/>
        <v>81065</v>
      </c>
      <c r="AQ64" s="332">
        <f>SUM(AQ50:AQ63)</f>
        <v>89920</v>
      </c>
      <c r="AS64" s="164"/>
    </row>
    <row r="65" spans="1:45" s="329" customFormat="1">
      <c r="A65" s="72"/>
      <c r="B65" s="464"/>
      <c r="D65" s="288" t="s">
        <v>583</v>
      </c>
      <c r="E65" s="340">
        <f>E64-SUM(E51:E56)</f>
        <v>157596</v>
      </c>
      <c r="F65" s="340">
        <f>F64-SUM(F51:F56)</f>
        <v>116571</v>
      </c>
      <c r="G65" s="340">
        <f>G64-SUM(G51:G56)</f>
        <v>146117</v>
      </c>
      <c r="H65" s="340">
        <f>H64-SUM(H51:H56)</f>
        <v>180581</v>
      </c>
      <c r="I65" s="340">
        <f>I64-SUM(I51:I56)</f>
        <v>171747.43173070834</v>
      </c>
      <c r="J65" s="340"/>
      <c r="K65" s="340">
        <f t="shared" ref="K65:Y65" si="24">K64-SUM(K51:K56)</f>
        <v>89452</v>
      </c>
      <c r="L65" s="340">
        <f t="shared" si="24"/>
        <v>167401.29693211147</v>
      </c>
      <c r="M65" s="340">
        <f t="shared" si="24"/>
        <v>132530</v>
      </c>
      <c r="N65" s="340">
        <f t="shared" si="24"/>
        <v>73128</v>
      </c>
      <c r="O65" s="340">
        <f t="shared" si="24"/>
        <v>71046</v>
      </c>
      <c r="P65" s="340">
        <f t="shared" si="24"/>
        <v>87136</v>
      </c>
      <c r="Q65" s="340">
        <f t="shared" si="24"/>
        <v>88855</v>
      </c>
      <c r="R65" s="340">
        <f>R64-SUM(R51:R56)</f>
        <v>103123</v>
      </c>
      <c r="S65" s="344">
        <f t="shared" si="24"/>
        <v>0</v>
      </c>
      <c r="T65" s="340">
        <f t="shared" si="24"/>
        <v>71463</v>
      </c>
      <c r="U65" s="340">
        <f t="shared" si="24"/>
        <v>74654</v>
      </c>
      <c r="V65" s="340">
        <f t="shared" si="24"/>
        <v>93723</v>
      </c>
      <c r="W65" s="340">
        <f t="shared" si="24"/>
        <v>86858</v>
      </c>
      <c r="X65" s="340">
        <f t="shared" si="24"/>
        <v>90912</v>
      </c>
      <c r="Y65" s="340">
        <f t="shared" si="24"/>
        <v>80835.431730708311</v>
      </c>
      <c r="Z65" s="340"/>
      <c r="AA65" s="340">
        <f t="shared" ref="AA65:AP65" si="25">AA64-SUM(AA51:AA56)</f>
        <v>46614</v>
      </c>
      <c r="AB65" s="340">
        <f t="shared" si="25"/>
        <v>42838</v>
      </c>
      <c r="AC65" s="340">
        <f t="shared" si="25"/>
        <v>85555.221257954763</v>
      </c>
      <c r="AD65" s="340">
        <f t="shared" si="25"/>
        <v>81846.075674156658</v>
      </c>
      <c r="AE65" s="340">
        <f t="shared" si="25"/>
        <v>70657</v>
      </c>
      <c r="AF65" s="340">
        <f t="shared" si="25"/>
        <v>61873</v>
      </c>
      <c r="AG65" s="340">
        <f t="shared" si="25"/>
        <v>39892</v>
      </c>
      <c r="AH65" s="340">
        <f t="shared" si="25"/>
        <v>33236</v>
      </c>
      <c r="AI65" s="340">
        <f t="shared" si="25"/>
        <v>33083</v>
      </c>
      <c r="AJ65" s="340">
        <f t="shared" si="25"/>
        <v>37963.054669173885</v>
      </c>
      <c r="AK65" s="340">
        <f t="shared" si="25"/>
        <v>43220</v>
      </c>
      <c r="AL65" s="340">
        <f t="shared" si="25"/>
        <v>43916</v>
      </c>
      <c r="AM65" s="340">
        <f t="shared" si="25"/>
        <v>46301.032531320983</v>
      </c>
      <c r="AN65" s="340">
        <f t="shared" si="25"/>
        <v>42553.967468679017</v>
      </c>
      <c r="AO65" s="340">
        <f t="shared" si="25"/>
        <v>47015</v>
      </c>
      <c r="AP65" s="340">
        <f t="shared" si="25"/>
        <v>56108</v>
      </c>
      <c r="AQ65" s="340">
        <f>AQ64-SUM(AQ51:AQ56)</f>
        <v>66084</v>
      </c>
      <c r="AS65" s="448"/>
    </row>
    <row r="66" spans="1:45">
      <c r="A66" s="13"/>
      <c r="B66" s="130"/>
      <c r="D66" s="282"/>
      <c r="E66" s="343"/>
      <c r="F66" s="343"/>
      <c r="G66" s="343"/>
      <c r="H66" s="343"/>
      <c r="I66" s="343"/>
      <c r="J66" s="343"/>
      <c r="K66" s="343"/>
      <c r="L66" s="343"/>
      <c r="M66" s="343"/>
      <c r="N66" s="343"/>
      <c r="O66" s="343"/>
      <c r="P66" s="343"/>
      <c r="Q66" s="343"/>
      <c r="R66" s="343"/>
      <c r="S66" s="327"/>
      <c r="T66" s="347"/>
      <c r="U66" s="347"/>
      <c r="V66" s="347"/>
      <c r="W66" s="347"/>
      <c r="X66" s="347"/>
      <c r="Y66" s="347"/>
      <c r="Z66" s="343"/>
      <c r="AA66" s="347"/>
      <c r="AB66" s="347"/>
      <c r="AC66" s="347"/>
      <c r="AD66" s="347"/>
      <c r="AE66" s="347"/>
      <c r="AF66" s="347"/>
      <c r="AG66" s="347"/>
      <c r="AH66" s="347"/>
      <c r="AI66" s="347"/>
      <c r="AJ66" s="347"/>
      <c r="AK66" s="347"/>
      <c r="AL66" s="347"/>
      <c r="AM66" s="347"/>
      <c r="AN66" s="347"/>
      <c r="AO66" s="347"/>
      <c r="AP66" s="347"/>
      <c r="AQ66" s="347"/>
      <c r="AS66" s="164"/>
    </row>
    <row r="67" spans="1:45" s="9" customFormat="1">
      <c r="A67" s="6"/>
      <c r="B67" s="119"/>
      <c r="D67" s="287" t="s">
        <v>3</v>
      </c>
      <c r="E67" s="338"/>
      <c r="F67" s="338"/>
      <c r="G67" s="338"/>
      <c r="H67" s="338"/>
      <c r="I67" s="338"/>
      <c r="J67" s="338"/>
      <c r="K67" s="338"/>
      <c r="L67" s="338"/>
      <c r="M67" s="338"/>
      <c r="N67" s="338"/>
      <c r="O67" s="338"/>
      <c r="P67" s="338"/>
      <c r="Q67" s="338"/>
      <c r="R67" s="338"/>
      <c r="S67" s="324"/>
      <c r="T67" s="338"/>
      <c r="U67" s="338"/>
      <c r="V67" s="338"/>
      <c r="W67" s="338"/>
      <c r="X67" s="338"/>
      <c r="Y67" s="338"/>
      <c r="Z67" s="338"/>
      <c r="AA67" s="338"/>
      <c r="AB67" s="338"/>
      <c r="AC67" s="338"/>
      <c r="AD67" s="338"/>
      <c r="AE67" s="338"/>
      <c r="AF67" s="338"/>
      <c r="AG67" s="338"/>
      <c r="AH67" s="338"/>
      <c r="AI67" s="338"/>
      <c r="AJ67" s="338"/>
      <c r="AK67" s="338"/>
      <c r="AL67" s="338"/>
      <c r="AM67" s="338"/>
      <c r="AN67" s="338"/>
      <c r="AO67" s="338"/>
      <c r="AP67" s="338"/>
      <c r="AQ67" s="338"/>
      <c r="AS67" s="164"/>
    </row>
    <row r="68" spans="1:45" s="9" customFormat="1" ht="12" customHeight="1">
      <c r="A68" s="11"/>
      <c r="B68" s="465" t="s">
        <v>3</v>
      </c>
      <c r="D68" s="37" t="s">
        <v>563</v>
      </c>
      <c r="E68" s="330">
        <v>18738</v>
      </c>
      <c r="F68" s="330">
        <v>12863</v>
      </c>
      <c r="G68" s="330">
        <v>14304</v>
      </c>
      <c r="H68" s="330">
        <v>17844</v>
      </c>
      <c r="I68" s="330">
        <v>20064</v>
      </c>
      <c r="J68" s="330"/>
      <c r="K68" s="330">
        <v>28663</v>
      </c>
      <c r="L68" s="330">
        <v>38075.038073451055</v>
      </c>
      <c r="M68" s="330">
        <v>35171</v>
      </c>
      <c r="N68" s="330">
        <v>25937</v>
      </c>
      <c r="O68" s="330">
        <v>22325</v>
      </c>
      <c r="P68" s="330">
        <v>26260</v>
      </c>
      <c r="Q68" s="330">
        <v>25435</v>
      </c>
      <c r="R68" s="330">
        <v>26100</v>
      </c>
      <c r="S68" s="322"/>
      <c r="T68" s="330">
        <v>6891</v>
      </c>
      <c r="U68" s="330">
        <v>7413</v>
      </c>
      <c r="V68" s="330">
        <v>8797</v>
      </c>
      <c r="W68" s="330">
        <v>9047</v>
      </c>
      <c r="X68" s="330">
        <v>9631</v>
      </c>
      <c r="Y68" s="330">
        <v>10433.482462431697</v>
      </c>
      <c r="Z68" s="330"/>
      <c r="AA68" s="330">
        <v>9950</v>
      </c>
      <c r="AB68" s="330">
        <v>18713</v>
      </c>
      <c r="AC68" s="330">
        <v>14936.386457976325</v>
      </c>
      <c r="AD68" s="330">
        <v>23138.65161547473</v>
      </c>
      <c r="AE68" s="330">
        <v>15017</v>
      </c>
      <c r="AF68" s="330">
        <v>20154</v>
      </c>
      <c r="AG68" s="330">
        <v>13286</v>
      </c>
      <c r="AH68" s="330">
        <v>12651</v>
      </c>
      <c r="AI68" s="330">
        <v>11803</v>
      </c>
      <c r="AJ68" s="330">
        <v>10521.876055732926</v>
      </c>
      <c r="AK68" s="330">
        <v>14378</v>
      </c>
      <c r="AL68" s="330">
        <v>11882</v>
      </c>
      <c r="AM68" s="330">
        <v>12799</v>
      </c>
      <c r="AN68" s="330">
        <v>12636</v>
      </c>
      <c r="AO68" s="330">
        <v>13437</v>
      </c>
      <c r="AP68" s="330">
        <f t="shared" ref="AP68:AP76" si="26">R68-AO68</f>
        <v>12663</v>
      </c>
      <c r="AQ68" s="330">
        <v>10725</v>
      </c>
      <c r="AS68" s="164"/>
    </row>
    <row r="69" spans="1:45">
      <c r="A69" s="125"/>
      <c r="B69" s="465"/>
      <c r="D69" s="37" t="s">
        <v>585</v>
      </c>
      <c r="E69" s="330">
        <v>1801</v>
      </c>
      <c r="F69" s="330">
        <v>665</v>
      </c>
      <c r="G69" s="330">
        <v>825</v>
      </c>
      <c r="H69" s="330">
        <v>1119</v>
      </c>
      <c r="I69" s="330">
        <v>1038</v>
      </c>
      <c r="J69" s="330"/>
      <c r="K69" s="330">
        <v>582</v>
      </c>
      <c r="L69" s="330">
        <v>1512.4293571798326</v>
      </c>
      <c r="M69" s="330">
        <v>1193</v>
      </c>
      <c r="N69" s="330">
        <v>714</v>
      </c>
      <c r="O69" s="330">
        <v>562</v>
      </c>
      <c r="P69" s="330">
        <v>970.36179577305256</v>
      </c>
      <c r="Q69" s="330">
        <v>1454</v>
      </c>
      <c r="R69" s="330">
        <v>1749</v>
      </c>
      <c r="S69" s="322"/>
      <c r="T69" s="330">
        <v>443</v>
      </c>
      <c r="U69" s="330">
        <v>382</v>
      </c>
      <c r="V69" s="330">
        <v>606</v>
      </c>
      <c r="W69" s="330">
        <v>513</v>
      </c>
      <c r="X69" s="330">
        <v>514</v>
      </c>
      <c r="Y69" s="330">
        <v>524.42088846334627</v>
      </c>
      <c r="Z69" s="330"/>
      <c r="AA69" s="330">
        <v>467</v>
      </c>
      <c r="AB69" s="330">
        <v>115</v>
      </c>
      <c r="AC69" s="330">
        <v>888.64888951635317</v>
      </c>
      <c r="AD69" s="330">
        <v>623.78046766347939</v>
      </c>
      <c r="AE69" s="330">
        <v>580</v>
      </c>
      <c r="AF69" s="330">
        <v>613</v>
      </c>
      <c r="AG69" s="330">
        <v>377</v>
      </c>
      <c r="AH69" s="330">
        <v>337</v>
      </c>
      <c r="AI69" s="330">
        <v>328</v>
      </c>
      <c r="AJ69" s="330">
        <v>233.79998884743418</v>
      </c>
      <c r="AK69" s="330">
        <v>616</v>
      </c>
      <c r="AL69" s="330">
        <v>354.36179577305256</v>
      </c>
      <c r="AM69" s="330">
        <v>744.51581687670819</v>
      </c>
      <c r="AN69" s="330">
        <v>709.48418312329181</v>
      </c>
      <c r="AO69" s="330">
        <v>836</v>
      </c>
      <c r="AP69" s="330">
        <f t="shared" si="26"/>
        <v>913</v>
      </c>
      <c r="AQ69" s="330">
        <v>788</v>
      </c>
      <c r="AS69" s="164"/>
    </row>
    <row r="70" spans="1:45">
      <c r="A70" s="125"/>
      <c r="B70" s="465"/>
      <c r="D70" s="37" t="s">
        <v>56</v>
      </c>
      <c r="E70" s="330">
        <v>158</v>
      </c>
      <c r="F70" s="330">
        <v>26</v>
      </c>
      <c r="G70" s="330">
        <v>43</v>
      </c>
      <c r="H70" s="330">
        <v>97</v>
      </c>
      <c r="I70" s="330">
        <v>163</v>
      </c>
      <c r="J70" s="330"/>
      <c r="K70" s="330">
        <v>51</v>
      </c>
      <c r="L70" s="330">
        <v>51.488802459222882</v>
      </c>
      <c r="M70" s="330">
        <v>31</v>
      </c>
      <c r="N70" s="330">
        <v>25</v>
      </c>
      <c r="O70" s="330">
        <v>20</v>
      </c>
      <c r="P70" s="330">
        <v>28</v>
      </c>
      <c r="Q70" s="330">
        <v>54</v>
      </c>
      <c r="R70" s="330">
        <v>154</v>
      </c>
      <c r="S70" s="322"/>
      <c r="T70" s="330">
        <v>8</v>
      </c>
      <c r="U70" s="330">
        <v>35</v>
      </c>
      <c r="V70" s="330">
        <v>51</v>
      </c>
      <c r="W70" s="330">
        <v>46</v>
      </c>
      <c r="X70" s="330">
        <v>89</v>
      </c>
      <c r="Y70" s="330">
        <v>73.765683704632863</v>
      </c>
      <c r="Z70" s="330"/>
      <c r="AA70" s="330">
        <v>26</v>
      </c>
      <c r="AB70" s="330">
        <v>25</v>
      </c>
      <c r="AC70" s="330">
        <v>25.960476809536026</v>
      </c>
      <c r="AD70" s="330">
        <v>25.528325649686856</v>
      </c>
      <c r="AE70" s="330">
        <v>19</v>
      </c>
      <c r="AF70" s="330">
        <v>12</v>
      </c>
      <c r="AG70" s="330">
        <v>13</v>
      </c>
      <c r="AH70" s="330">
        <v>12</v>
      </c>
      <c r="AI70" s="330">
        <v>11</v>
      </c>
      <c r="AJ70" s="330">
        <v>8.8596005137715963</v>
      </c>
      <c r="AK70" s="330">
        <v>16</v>
      </c>
      <c r="AL70" s="330">
        <v>12</v>
      </c>
      <c r="AM70" s="330">
        <v>20</v>
      </c>
      <c r="AN70" s="330">
        <v>34</v>
      </c>
      <c r="AO70" s="330">
        <v>86</v>
      </c>
      <c r="AP70" s="330">
        <f t="shared" si="26"/>
        <v>68</v>
      </c>
      <c r="AQ70" s="330">
        <v>74</v>
      </c>
      <c r="AS70" s="164"/>
    </row>
    <row r="71" spans="1:45">
      <c r="A71" s="125"/>
      <c r="B71" s="465"/>
      <c r="D71" s="37" t="s">
        <v>565</v>
      </c>
      <c r="E71" s="330">
        <v>380</v>
      </c>
      <c r="F71" s="330">
        <v>339</v>
      </c>
      <c r="G71" s="330">
        <v>377</v>
      </c>
      <c r="H71" s="330">
        <v>467</v>
      </c>
      <c r="I71" s="330">
        <v>392</v>
      </c>
      <c r="J71" s="330"/>
      <c r="K71" s="330">
        <v>166</v>
      </c>
      <c r="L71" s="330">
        <v>309.64837785636718</v>
      </c>
      <c r="M71" s="330">
        <v>355</v>
      </c>
      <c r="N71" s="330">
        <v>241</v>
      </c>
      <c r="O71" s="330">
        <v>263</v>
      </c>
      <c r="P71" s="330">
        <v>319</v>
      </c>
      <c r="Q71" s="330">
        <v>294</v>
      </c>
      <c r="R71" s="330">
        <v>264</v>
      </c>
      <c r="S71" s="322"/>
      <c r="T71" s="330">
        <v>193</v>
      </c>
      <c r="U71" s="330">
        <v>184</v>
      </c>
      <c r="V71" s="330">
        <v>238</v>
      </c>
      <c r="W71" s="330">
        <v>229</v>
      </c>
      <c r="X71" s="330">
        <v>196</v>
      </c>
      <c r="Y71" s="330">
        <v>196.31243251658725</v>
      </c>
      <c r="Z71" s="330"/>
      <c r="AA71" s="330">
        <v>95</v>
      </c>
      <c r="AB71" s="330">
        <v>71</v>
      </c>
      <c r="AC71" s="330">
        <v>166.5722481088057</v>
      </c>
      <c r="AD71" s="330">
        <v>143.07612974756148</v>
      </c>
      <c r="AE71" s="330">
        <v>191</v>
      </c>
      <c r="AF71" s="330">
        <v>164</v>
      </c>
      <c r="AG71" s="330">
        <v>137</v>
      </c>
      <c r="AH71" s="330">
        <v>104</v>
      </c>
      <c r="AI71" s="330">
        <v>114</v>
      </c>
      <c r="AJ71" s="330">
        <v>149.49205272432823</v>
      </c>
      <c r="AK71" s="330">
        <v>156</v>
      </c>
      <c r="AL71" s="330">
        <v>163</v>
      </c>
      <c r="AM71" s="330">
        <v>171.2563607535929</v>
      </c>
      <c r="AN71" s="330">
        <v>122.7436392464071</v>
      </c>
      <c r="AO71" s="330">
        <v>125</v>
      </c>
      <c r="AP71" s="330">
        <f>R71-AO71</f>
        <v>139</v>
      </c>
      <c r="AQ71" s="330">
        <v>91</v>
      </c>
      <c r="AS71" s="164"/>
    </row>
    <row r="72" spans="1:45" ht="24">
      <c r="A72" s="125"/>
      <c r="B72" s="465"/>
      <c r="D72" s="37" t="s">
        <v>566</v>
      </c>
      <c r="E72" s="330">
        <v>696</v>
      </c>
      <c r="F72" s="330">
        <v>479</v>
      </c>
      <c r="G72" s="330">
        <v>692</v>
      </c>
      <c r="H72" s="330">
        <v>1116</v>
      </c>
      <c r="I72" s="330">
        <v>1874</v>
      </c>
      <c r="J72" s="330"/>
      <c r="K72" s="330">
        <v>603</v>
      </c>
      <c r="L72" s="330">
        <v>757.02433028540543</v>
      </c>
      <c r="M72" s="330">
        <v>944</v>
      </c>
      <c r="N72" s="330">
        <v>849</v>
      </c>
      <c r="O72" s="330">
        <v>692</v>
      </c>
      <c r="P72" s="330">
        <v>1033</v>
      </c>
      <c r="Q72" s="330">
        <v>971</v>
      </c>
      <c r="R72" s="330">
        <v>195</v>
      </c>
      <c r="S72" s="322"/>
      <c r="T72" s="330">
        <v>286</v>
      </c>
      <c r="U72" s="330">
        <v>406</v>
      </c>
      <c r="V72" s="330">
        <v>548</v>
      </c>
      <c r="W72" s="330">
        <v>568</v>
      </c>
      <c r="X72" s="330">
        <v>717</v>
      </c>
      <c r="Y72" s="330">
        <v>1157.3081689134833</v>
      </c>
      <c r="Z72" s="330"/>
      <c r="AA72" s="330">
        <v>298</v>
      </c>
      <c r="AB72" s="330">
        <v>305</v>
      </c>
      <c r="AC72" s="330">
        <v>547.38276556824735</v>
      </c>
      <c r="AD72" s="330">
        <v>209.64156471715808</v>
      </c>
      <c r="AE72" s="330">
        <v>461</v>
      </c>
      <c r="AF72" s="330">
        <v>483</v>
      </c>
      <c r="AG72" s="330">
        <v>456</v>
      </c>
      <c r="AH72" s="330">
        <v>393</v>
      </c>
      <c r="AI72" s="330">
        <v>213</v>
      </c>
      <c r="AJ72" s="330">
        <v>478.69286796426081</v>
      </c>
      <c r="AK72" s="330">
        <v>305</v>
      </c>
      <c r="AL72" s="330">
        <v>728</v>
      </c>
      <c r="AM72" s="330">
        <v>426.82862739071697</v>
      </c>
      <c r="AN72" s="330">
        <v>544.17137260928303</v>
      </c>
      <c r="AO72" s="330">
        <v>99</v>
      </c>
      <c r="AP72" s="330">
        <f t="shared" si="26"/>
        <v>96</v>
      </c>
      <c r="AQ72" s="330">
        <v>29</v>
      </c>
      <c r="AS72" s="164"/>
    </row>
    <row r="73" spans="1:45" s="9" customFormat="1">
      <c r="A73" s="125"/>
      <c r="B73" s="465"/>
      <c r="D73" s="37" t="s">
        <v>567</v>
      </c>
      <c r="E73" s="330">
        <v>1237</v>
      </c>
      <c r="F73" s="330">
        <v>498</v>
      </c>
      <c r="G73" s="330">
        <v>717</v>
      </c>
      <c r="H73" s="330">
        <v>776</v>
      </c>
      <c r="I73" s="330">
        <v>976</v>
      </c>
      <c r="J73" s="330"/>
      <c r="K73" s="330">
        <v>604</v>
      </c>
      <c r="L73" s="330">
        <v>600.43208422407895</v>
      </c>
      <c r="M73" s="330">
        <v>712</v>
      </c>
      <c r="N73" s="330">
        <v>1361</v>
      </c>
      <c r="O73" s="330">
        <v>1019</v>
      </c>
      <c r="P73" s="330">
        <v>497</v>
      </c>
      <c r="Q73" s="330">
        <v>465</v>
      </c>
      <c r="R73" s="330">
        <v>401</v>
      </c>
      <c r="S73" s="322"/>
      <c r="T73" s="330">
        <v>232</v>
      </c>
      <c r="U73" s="330">
        <v>485</v>
      </c>
      <c r="V73" s="330">
        <v>378</v>
      </c>
      <c r="W73" s="330">
        <v>398</v>
      </c>
      <c r="X73" s="330">
        <v>400</v>
      </c>
      <c r="Y73" s="330">
        <v>575.60909732668938</v>
      </c>
      <c r="Z73" s="330"/>
      <c r="AA73" s="330">
        <v>284</v>
      </c>
      <c r="AB73" s="330">
        <v>320</v>
      </c>
      <c r="AC73" s="330">
        <v>280.17186770292437</v>
      </c>
      <c r="AD73" s="330">
        <v>320.26021652115458</v>
      </c>
      <c r="AE73" s="330">
        <v>371</v>
      </c>
      <c r="AF73" s="330">
        <v>341</v>
      </c>
      <c r="AG73" s="330">
        <v>901</v>
      </c>
      <c r="AH73" s="330">
        <v>460</v>
      </c>
      <c r="AI73" s="330">
        <v>466</v>
      </c>
      <c r="AJ73" s="330">
        <v>552.72901580774783</v>
      </c>
      <c r="AK73" s="330">
        <v>369</v>
      </c>
      <c r="AL73" s="330">
        <v>128</v>
      </c>
      <c r="AM73" s="330">
        <v>480.91353455779296</v>
      </c>
      <c r="AN73" s="330">
        <v>-15.913534557792957</v>
      </c>
      <c r="AO73" s="330">
        <v>307</v>
      </c>
      <c r="AP73" s="330">
        <f t="shared" si="26"/>
        <v>94</v>
      </c>
      <c r="AQ73" s="330">
        <v>67</v>
      </c>
      <c r="AS73" s="164"/>
    </row>
    <row r="74" spans="1:45" s="125" customFormat="1" ht="24">
      <c r="B74" s="465"/>
      <c r="D74" s="37" t="s">
        <v>733</v>
      </c>
      <c r="E74" s="330">
        <v>14598</v>
      </c>
      <c r="F74" s="330">
        <v>4951</v>
      </c>
      <c r="G74" s="330">
        <v>4271</v>
      </c>
      <c r="H74" s="330">
        <v>7640</v>
      </c>
      <c r="I74" s="330">
        <v>5160</v>
      </c>
      <c r="J74" s="330"/>
      <c r="K74" s="330">
        <v>5583</v>
      </c>
      <c r="L74" s="330">
        <v>7156.9679687491671</v>
      </c>
      <c r="M74" s="330">
        <v>5378</v>
      </c>
      <c r="N74" s="330">
        <v>4974</v>
      </c>
      <c r="O74" s="330">
        <v>5123</v>
      </c>
      <c r="P74" s="330">
        <v>4915</v>
      </c>
      <c r="Q74" s="330">
        <v>4246</v>
      </c>
      <c r="R74" s="330">
        <v>3793</v>
      </c>
      <c r="S74" s="322">
        <v>0</v>
      </c>
      <c r="T74" s="330">
        <v>2443</v>
      </c>
      <c r="U74" s="330">
        <v>1828</v>
      </c>
      <c r="V74" s="330">
        <v>5635</v>
      </c>
      <c r="W74" s="330">
        <v>2005</v>
      </c>
      <c r="X74" s="330">
        <v>2623</v>
      </c>
      <c r="Y74" s="330">
        <v>2537.2628768563936</v>
      </c>
      <c r="Z74" s="330"/>
      <c r="AA74" s="330">
        <v>3036</v>
      </c>
      <c r="AB74" s="330">
        <v>2547</v>
      </c>
      <c r="AC74" s="330">
        <v>4385.8278707460122</v>
      </c>
      <c r="AD74" s="330">
        <v>2771.1400980031549</v>
      </c>
      <c r="AE74" s="330">
        <v>3199</v>
      </c>
      <c r="AF74" s="330">
        <v>2179</v>
      </c>
      <c r="AG74" s="330">
        <v>2609</v>
      </c>
      <c r="AH74" s="330">
        <v>2365</v>
      </c>
      <c r="AI74" s="330">
        <v>3414</v>
      </c>
      <c r="AJ74" s="330">
        <v>1709.0093113223202</v>
      </c>
      <c r="AK74" s="330">
        <v>2573</v>
      </c>
      <c r="AL74" s="330">
        <v>2342</v>
      </c>
      <c r="AM74" s="330">
        <v>2345.6479767816418</v>
      </c>
      <c r="AN74" s="330">
        <v>1900.3520232183582</v>
      </c>
      <c r="AO74" s="330">
        <v>2188</v>
      </c>
      <c r="AP74" s="330">
        <f t="shared" si="26"/>
        <v>1605</v>
      </c>
      <c r="AQ74" s="330">
        <v>1531</v>
      </c>
      <c r="AS74" s="164"/>
    </row>
    <row r="75" spans="1:45" s="9" customFormat="1">
      <c r="A75" s="125"/>
      <c r="B75" s="465"/>
      <c r="D75" s="37" t="s">
        <v>568</v>
      </c>
      <c r="E75" s="330">
        <v>622</v>
      </c>
      <c r="F75" s="330">
        <v>1072</v>
      </c>
      <c r="G75" s="330">
        <v>1895</v>
      </c>
      <c r="H75" s="330">
        <v>2015</v>
      </c>
      <c r="I75" s="330">
        <v>2476</v>
      </c>
      <c r="J75" s="330"/>
      <c r="K75" s="330">
        <v>2226</v>
      </c>
      <c r="L75" s="330">
        <v>2831</v>
      </c>
      <c r="M75" s="330">
        <v>2765</v>
      </c>
      <c r="N75" s="330">
        <v>2353</v>
      </c>
      <c r="O75" s="330">
        <v>2307</v>
      </c>
      <c r="P75" s="330">
        <v>3018</v>
      </c>
      <c r="Q75" s="330">
        <v>1295</v>
      </c>
      <c r="R75" s="330">
        <v>123</v>
      </c>
      <c r="S75" s="322"/>
      <c r="T75" s="330">
        <v>918</v>
      </c>
      <c r="U75" s="330">
        <v>977</v>
      </c>
      <c r="V75" s="330">
        <v>1000</v>
      </c>
      <c r="W75" s="330">
        <v>1015</v>
      </c>
      <c r="X75" s="330">
        <v>1236</v>
      </c>
      <c r="Y75" s="330">
        <v>1240.2996211017839</v>
      </c>
      <c r="Z75" s="330"/>
      <c r="AA75" s="330">
        <v>1099</v>
      </c>
      <c r="AB75" s="330">
        <v>1127</v>
      </c>
      <c r="AC75" s="330">
        <v>1715</v>
      </c>
      <c r="AD75" s="330">
        <v>1116</v>
      </c>
      <c r="AE75" s="330">
        <v>1535</v>
      </c>
      <c r="AF75" s="330">
        <v>1230</v>
      </c>
      <c r="AG75" s="330">
        <v>1239</v>
      </c>
      <c r="AH75" s="330">
        <v>1114</v>
      </c>
      <c r="AI75" s="330">
        <v>1032</v>
      </c>
      <c r="AJ75" s="330">
        <v>1275.3086158661754</v>
      </c>
      <c r="AK75" s="330">
        <v>1523</v>
      </c>
      <c r="AL75" s="330">
        <v>1495</v>
      </c>
      <c r="AM75" s="330">
        <v>799.24508468670354</v>
      </c>
      <c r="AN75" s="330">
        <v>495.75491531329646</v>
      </c>
      <c r="AO75" s="330">
        <v>134</v>
      </c>
      <c r="AP75" s="330">
        <f t="shared" si="26"/>
        <v>-11</v>
      </c>
      <c r="AQ75" s="330">
        <v>198</v>
      </c>
      <c r="AS75" s="164"/>
    </row>
    <row r="76" spans="1:45" s="125" customFormat="1">
      <c r="B76" s="465"/>
      <c r="D76" s="37" t="s">
        <v>570</v>
      </c>
      <c r="E76" s="330">
        <v>15209</v>
      </c>
      <c r="F76" s="330">
        <v>7309</v>
      </c>
      <c r="G76" s="330">
        <v>7494</v>
      </c>
      <c r="H76" s="330">
        <v>8719</v>
      </c>
      <c r="I76" s="330">
        <v>11234</v>
      </c>
      <c r="J76" s="330"/>
      <c r="K76" s="330">
        <v>7117</v>
      </c>
      <c r="L76" s="330">
        <v>10985</v>
      </c>
      <c r="M76" s="330">
        <v>8620</v>
      </c>
      <c r="N76" s="330">
        <v>5889</v>
      </c>
      <c r="O76" s="330">
        <v>4364</v>
      </c>
      <c r="P76" s="330">
        <v>5691</v>
      </c>
      <c r="Q76" s="330">
        <v>4711</v>
      </c>
      <c r="R76" s="330">
        <v>2703</v>
      </c>
      <c r="S76" s="322">
        <v>0</v>
      </c>
      <c r="T76" s="330">
        <v>3480</v>
      </c>
      <c r="U76" s="330">
        <v>4014</v>
      </c>
      <c r="V76" s="330">
        <v>4383</v>
      </c>
      <c r="W76" s="330">
        <v>4336</v>
      </c>
      <c r="X76" s="330">
        <v>5402</v>
      </c>
      <c r="Y76" s="330">
        <v>5830.5267601148262</v>
      </c>
      <c r="Z76" s="330"/>
      <c r="AA76" s="330">
        <v>3057</v>
      </c>
      <c r="AB76" s="330">
        <v>4060</v>
      </c>
      <c r="AC76" s="330">
        <v>3895.8921776971101</v>
      </c>
      <c r="AD76" s="330">
        <v>7088.7914742747998</v>
      </c>
      <c r="AE76" s="330">
        <v>5163</v>
      </c>
      <c r="AF76" s="330">
        <v>3457</v>
      </c>
      <c r="AG76" s="330">
        <v>2366</v>
      </c>
      <c r="AH76" s="330">
        <v>3523</v>
      </c>
      <c r="AI76" s="330">
        <v>2034.0000000000014</v>
      </c>
      <c r="AJ76" s="330">
        <v>2330</v>
      </c>
      <c r="AK76" s="330">
        <v>2648</v>
      </c>
      <c r="AL76" s="330">
        <v>3043</v>
      </c>
      <c r="AM76" s="330">
        <v>3271.0219722164361</v>
      </c>
      <c r="AN76" s="330">
        <v>1439.9780277835639</v>
      </c>
      <c r="AO76" s="330">
        <v>1888</v>
      </c>
      <c r="AP76" s="330">
        <f t="shared" si="26"/>
        <v>815</v>
      </c>
      <c r="AQ76" s="330">
        <v>1502</v>
      </c>
      <c r="AS76" s="164"/>
    </row>
    <row r="77" spans="1:45" s="9" customFormat="1">
      <c r="A77" s="11"/>
      <c r="B77" s="465"/>
      <c r="D77" s="283" t="s">
        <v>584</v>
      </c>
      <c r="E77" s="332">
        <f>SUM(E68:E76)</f>
        <v>53439</v>
      </c>
      <c r="F77" s="332">
        <f>SUM(F68:F76)</f>
        <v>28202</v>
      </c>
      <c r="G77" s="332">
        <f>SUM(G68:G76)</f>
        <v>30618</v>
      </c>
      <c r="H77" s="332">
        <f>SUM(H68:H76)</f>
        <v>39793</v>
      </c>
      <c r="I77" s="332">
        <f>SUM(I68:I76)</f>
        <v>43377</v>
      </c>
      <c r="J77" s="332"/>
      <c r="K77" s="332">
        <f t="shared" ref="K77:R77" si="27">SUM(K68:K76)</f>
        <v>45595</v>
      </c>
      <c r="L77" s="332">
        <f t="shared" si="27"/>
        <v>62279.028994205131</v>
      </c>
      <c r="M77" s="332">
        <f t="shared" si="27"/>
        <v>55169</v>
      </c>
      <c r="N77" s="332">
        <f t="shared" si="27"/>
        <v>42343</v>
      </c>
      <c r="O77" s="332">
        <f t="shared" si="27"/>
        <v>36675</v>
      </c>
      <c r="P77" s="332">
        <f t="shared" si="27"/>
        <v>42731.361795773053</v>
      </c>
      <c r="Q77" s="332">
        <f t="shared" si="27"/>
        <v>38925</v>
      </c>
      <c r="R77" s="332">
        <f t="shared" si="27"/>
        <v>35482</v>
      </c>
      <c r="S77" s="324"/>
      <c r="T77" s="332">
        <f t="shared" ref="T77:Y77" si="28">SUM(T68:T76)</f>
        <v>14894</v>
      </c>
      <c r="U77" s="332">
        <f t="shared" si="28"/>
        <v>15724</v>
      </c>
      <c r="V77" s="332">
        <f t="shared" si="28"/>
        <v>21636</v>
      </c>
      <c r="W77" s="332">
        <f t="shared" si="28"/>
        <v>18157</v>
      </c>
      <c r="X77" s="332">
        <f t="shared" si="28"/>
        <v>20808</v>
      </c>
      <c r="Y77" s="332">
        <f t="shared" si="28"/>
        <v>22568.98799142944</v>
      </c>
      <c r="Z77" s="332"/>
      <c r="AA77" s="332">
        <f t="shared" ref="AA77:AQ77" si="29">SUM(AA68:AA76)</f>
        <v>18312</v>
      </c>
      <c r="AB77" s="332">
        <f t="shared" si="29"/>
        <v>27283</v>
      </c>
      <c r="AC77" s="332">
        <f t="shared" si="29"/>
        <v>26841.842754125315</v>
      </c>
      <c r="AD77" s="332">
        <f t="shared" si="29"/>
        <v>35436.869892051727</v>
      </c>
      <c r="AE77" s="332">
        <f t="shared" si="29"/>
        <v>26536</v>
      </c>
      <c r="AF77" s="332">
        <f t="shared" si="29"/>
        <v>28633</v>
      </c>
      <c r="AG77" s="332">
        <f t="shared" si="29"/>
        <v>21384</v>
      </c>
      <c r="AH77" s="332">
        <f t="shared" si="29"/>
        <v>20959</v>
      </c>
      <c r="AI77" s="332">
        <f t="shared" si="29"/>
        <v>19415</v>
      </c>
      <c r="AJ77" s="332">
        <f t="shared" si="29"/>
        <v>17259.767508778965</v>
      </c>
      <c r="AK77" s="332">
        <f t="shared" si="29"/>
        <v>22584</v>
      </c>
      <c r="AL77" s="332">
        <f t="shared" si="29"/>
        <v>20147.361795773053</v>
      </c>
      <c r="AM77" s="332">
        <f>SUM(AM68:AM76)</f>
        <v>21058.429373263592</v>
      </c>
      <c r="AN77" s="332">
        <f t="shared" si="29"/>
        <v>17866.570626736408</v>
      </c>
      <c r="AO77" s="332">
        <f t="shared" si="29"/>
        <v>19100</v>
      </c>
      <c r="AP77" s="332">
        <f t="shared" si="29"/>
        <v>16382</v>
      </c>
      <c r="AQ77" s="332">
        <f t="shared" si="29"/>
        <v>15005</v>
      </c>
      <c r="AS77" s="164"/>
    </row>
    <row r="78" spans="1:45" s="9" customFormat="1" ht="24">
      <c r="A78" s="11"/>
      <c r="B78" s="465"/>
      <c r="D78" s="288" t="s">
        <v>586</v>
      </c>
      <c r="E78" s="344">
        <f>E77-SUM(E69:E70)</f>
        <v>51480</v>
      </c>
      <c r="F78" s="344">
        <f>F77-SUM(F69:F70)</f>
        <v>27511</v>
      </c>
      <c r="G78" s="344">
        <f>G77-SUM(G69:G70)</f>
        <v>29750</v>
      </c>
      <c r="H78" s="344">
        <f>H77-SUM(H69:H70)</f>
        <v>38577</v>
      </c>
      <c r="I78" s="344">
        <f>I77-SUM(I69:I70)</f>
        <v>42176</v>
      </c>
      <c r="J78" s="344"/>
      <c r="K78" s="344">
        <f t="shared" ref="K78:Y78" si="30">K77-SUM(K69:K70)</f>
        <v>44962</v>
      </c>
      <c r="L78" s="344">
        <f t="shared" si="30"/>
        <v>60715.110834566076</v>
      </c>
      <c r="M78" s="344">
        <f t="shared" si="30"/>
        <v>53945</v>
      </c>
      <c r="N78" s="344">
        <f t="shared" si="30"/>
        <v>41604</v>
      </c>
      <c r="O78" s="344">
        <f t="shared" si="30"/>
        <v>36093</v>
      </c>
      <c r="P78" s="344">
        <f t="shared" si="30"/>
        <v>41733</v>
      </c>
      <c r="Q78" s="344">
        <f t="shared" si="30"/>
        <v>37417</v>
      </c>
      <c r="R78" s="344">
        <f>R77-SUM(R69:R70)</f>
        <v>33579</v>
      </c>
      <c r="S78" s="328">
        <f t="shared" si="30"/>
        <v>0</v>
      </c>
      <c r="T78" s="344">
        <f t="shared" si="30"/>
        <v>14443</v>
      </c>
      <c r="U78" s="344">
        <f t="shared" si="30"/>
        <v>15307</v>
      </c>
      <c r="V78" s="344">
        <f t="shared" si="30"/>
        <v>20979</v>
      </c>
      <c r="W78" s="344">
        <f t="shared" si="30"/>
        <v>17598</v>
      </c>
      <c r="X78" s="344">
        <f t="shared" si="30"/>
        <v>20205</v>
      </c>
      <c r="Y78" s="344">
        <f t="shared" si="30"/>
        <v>21970.801419261461</v>
      </c>
      <c r="Z78" s="344"/>
      <c r="AA78" s="344">
        <f t="shared" ref="AA78:AP78" si="31">AA77-SUM(AA69:AA70)</f>
        <v>17819</v>
      </c>
      <c r="AB78" s="344">
        <f t="shared" si="31"/>
        <v>27143</v>
      </c>
      <c r="AC78" s="344">
        <f t="shared" si="31"/>
        <v>25927.233387799424</v>
      </c>
      <c r="AD78" s="344">
        <f t="shared" si="31"/>
        <v>34787.561098738559</v>
      </c>
      <c r="AE78" s="344">
        <f t="shared" si="31"/>
        <v>25937</v>
      </c>
      <c r="AF78" s="344">
        <f t="shared" si="31"/>
        <v>28008</v>
      </c>
      <c r="AG78" s="344">
        <f t="shared" si="31"/>
        <v>20994</v>
      </c>
      <c r="AH78" s="344">
        <f t="shared" si="31"/>
        <v>20610</v>
      </c>
      <c r="AI78" s="344">
        <f t="shared" si="31"/>
        <v>19076</v>
      </c>
      <c r="AJ78" s="344">
        <f t="shared" si="31"/>
        <v>17017.107919417758</v>
      </c>
      <c r="AK78" s="344">
        <f t="shared" si="31"/>
        <v>21952</v>
      </c>
      <c r="AL78" s="344">
        <f t="shared" si="31"/>
        <v>19781</v>
      </c>
      <c r="AM78" s="344">
        <f t="shared" si="31"/>
        <v>20293.913556386884</v>
      </c>
      <c r="AN78" s="344">
        <f t="shared" si="31"/>
        <v>17123.086443613116</v>
      </c>
      <c r="AO78" s="344">
        <f t="shared" si="31"/>
        <v>18178</v>
      </c>
      <c r="AP78" s="344">
        <f t="shared" si="31"/>
        <v>15401</v>
      </c>
      <c r="AQ78" s="344">
        <f>AQ77-SUM(AQ69:AQ70)</f>
        <v>14143</v>
      </c>
      <c r="AS78" s="164"/>
    </row>
    <row r="79" spans="1:45" s="167" customFormat="1">
      <c r="A79" s="165"/>
      <c r="B79" s="166"/>
      <c r="D79" s="289"/>
      <c r="E79" s="293"/>
      <c r="F79" s="293"/>
      <c r="G79" s="293"/>
      <c r="H79" s="293"/>
      <c r="I79" s="293"/>
      <c r="J79" s="293"/>
      <c r="K79" s="293"/>
      <c r="L79" s="293"/>
      <c r="M79" s="293"/>
      <c r="N79" s="293"/>
      <c r="O79" s="293"/>
      <c r="P79" s="293"/>
      <c r="Q79" s="293"/>
      <c r="R79" s="293"/>
      <c r="S79" s="293"/>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S79" s="164"/>
    </row>
    <row r="80" spans="1:45" s="9" customFormat="1">
      <c r="A80" s="125"/>
      <c r="B80" s="119"/>
      <c r="D80" s="25" t="s">
        <v>108</v>
      </c>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row>
    <row r="81" spans="1:43" ht="24">
      <c r="A81" s="13"/>
      <c r="D81" s="290" t="s">
        <v>109</v>
      </c>
      <c r="E81" s="178"/>
      <c r="F81" s="178"/>
      <c r="G81" s="178"/>
      <c r="H81" s="178"/>
      <c r="I81" s="178"/>
      <c r="J81" s="178"/>
      <c r="K81" s="178"/>
      <c r="L81" s="178"/>
      <c r="M81" s="178"/>
      <c r="N81" s="178"/>
      <c r="O81" s="178"/>
      <c r="P81" s="178"/>
      <c r="Q81" s="178"/>
      <c r="R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row>
    <row r="82" spans="1:43" s="9" customFormat="1">
      <c r="A82" s="11"/>
      <c r="B82" s="125"/>
      <c r="D82" s="276"/>
      <c r="E82" s="173"/>
      <c r="F82" s="173"/>
      <c r="G82" s="173"/>
      <c r="H82" s="173"/>
      <c r="I82" s="173"/>
      <c r="J82" s="173"/>
      <c r="K82" s="173"/>
      <c r="L82" s="173"/>
      <c r="M82" s="173"/>
      <c r="N82" s="173"/>
      <c r="O82" s="173"/>
      <c r="P82" s="173"/>
      <c r="Q82" s="173"/>
      <c r="R82" s="173"/>
      <c r="S82" s="164"/>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row>
    <row r="84" spans="1:43" ht="14.25">
      <c r="D84" s="365" t="s">
        <v>734</v>
      </c>
    </row>
    <row r="85" spans="1:43" ht="14.25" customHeight="1">
      <c r="D85" s="463" t="s">
        <v>749</v>
      </c>
      <c r="E85" s="463"/>
      <c r="F85" s="463"/>
      <c r="G85" s="463"/>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13"/>
      <c r="AQ85" s="13"/>
    </row>
    <row r="86" spans="1:43" ht="43.5" customHeight="1">
      <c r="D86" s="463" t="s">
        <v>751</v>
      </c>
      <c r="E86" s="463"/>
      <c r="F86" s="463"/>
      <c r="G86" s="463"/>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13"/>
      <c r="AQ86" s="13"/>
    </row>
    <row r="87" spans="1:43" ht="43.5" customHeight="1">
      <c r="D87" s="463" t="s">
        <v>754</v>
      </c>
      <c r="E87" s="463"/>
      <c r="F87" s="463"/>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3"/>
      <c r="AN87" s="463"/>
      <c r="AO87" s="463"/>
      <c r="AP87" s="13"/>
      <c r="AQ87" s="13"/>
    </row>
    <row r="88" spans="1:43" ht="63.75" customHeight="1">
      <c r="D88" s="463" t="s">
        <v>756</v>
      </c>
      <c r="E88" s="463"/>
      <c r="F88" s="463"/>
      <c r="G88" s="463"/>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463"/>
      <c r="AM88" s="463"/>
      <c r="AN88" s="463"/>
      <c r="AO88" s="463"/>
      <c r="AP88" s="13"/>
      <c r="AQ88" s="13"/>
    </row>
  </sheetData>
  <mergeCells count="8">
    <mergeCell ref="B7:B27"/>
    <mergeCell ref="D88:AO88"/>
    <mergeCell ref="D86:AO86"/>
    <mergeCell ref="D87:AO87"/>
    <mergeCell ref="D85:AO85"/>
    <mergeCell ref="B50:B65"/>
    <mergeCell ref="B68:B78"/>
    <mergeCell ref="B31:B47"/>
  </mergeCells>
  <phoneticPr fontId="348" type="noConversion"/>
  <dataValidations disablePrompts="1" count="1">
    <dataValidation allowBlank="1" showErrorMessage="1" sqref="D55:D56 D46 D24:E25 F25:J25 F24:R24 D36:D37 AE24:AM24 T24:AC24" xr:uid="{00000000-0002-0000-0100-000000000000}">
      <formula1>0</formula1>
      <formula2>0</formula2>
    </dataValidation>
  </dataValidations>
  <hyperlinks>
    <hyperlink ref="D81" r:id="rId1" xr:uid="{00000000-0004-0000-0100-000000000000}"/>
  </hyperlinks>
  <pageMargins left="0.7" right="0.7"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07F83"/>
  </sheetPr>
  <dimension ref="A3:AO61"/>
  <sheetViews>
    <sheetView zoomScale="80" zoomScaleNormal="80" workbookViewId="0">
      <pane xSplit="4" ySplit="5" topLeftCell="E6" activePane="bottomRight" state="frozen"/>
      <selection activeCell="H25" sqref="H25:I25"/>
      <selection pane="topRight" activeCell="H25" sqref="H25:I25"/>
      <selection pane="bottomLeft" activeCell="H25" sqref="H25:I25"/>
      <selection pane="bottomRight" activeCell="J61" sqref="J61"/>
    </sheetView>
  </sheetViews>
  <sheetFormatPr defaultColWidth="9.140625" defaultRowHeight="15"/>
  <cols>
    <col min="1" max="1" width="2.28515625" style="2" customWidth="1"/>
    <col min="2" max="2" width="3.5703125" style="2" customWidth="1"/>
    <col min="3" max="3" width="0.85546875" style="2" customWidth="1"/>
    <col min="4" max="4" width="54.28515625" style="2" customWidth="1"/>
    <col min="5" max="9" width="10.28515625" style="161" bestFit="1" customWidth="1"/>
    <col min="10" max="10" width="2.85546875" style="161" bestFit="1" customWidth="1"/>
    <col min="11" max="16" width="10.28515625" style="161" bestFit="1" customWidth="1"/>
    <col min="17" max="17" width="10.28515625" style="161" customWidth="1"/>
    <col min="18" max="18" width="2.85546875" style="408" bestFit="1" customWidth="1"/>
    <col min="19" max="20" width="10.28515625" style="169" bestFit="1" customWidth="1"/>
    <col min="21" max="29" width="10.28515625" style="161" bestFit="1" customWidth="1"/>
    <col min="30" max="16384" width="9.140625" style="2"/>
  </cols>
  <sheetData>
    <row r="3" spans="1:41">
      <c r="D3" s="7" t="s">
        <v>17</v>
      </c>
    </row>
    <row r="4" spans="1:41" s="14" customFormat="1" ht="12">
      <c r="E4" s="163"/>
      <c r="F4" s="163"/>
      <c r="G4" s="163"/>
      <c r="H4" s="163"/>
      <c r="I4" s="163"/>
      <c r="J4" s="163"/>
      <c r="K4" s="163"/>
      <c r="L4" s="163"/>
      <c r="M4" s="163"/>
      <c r="N4" s="163"/>
      <c r="O4" s="163"/>
      <c r="P4" s="172"/>
      <c r="Q4" s="172"/>
      <c r="R4" s="431"/>
      <c r="S4" s="172"/>
      <c r="T4" s="172"/>
      <c r="U4" s="172"/>
      <c r="V4" s="172"/>
      <c r="W4" s="172"/>
      <c r="X4" s="172"/>
      <c r="Y4" s="172"/>
      <c r="Z4" s="172"/>
      <c r="AA4" s="172"/>
      <c r="AB4" s="172"/>
      <c r="AC4" s="172"/>
    </row>
    <row r="5" spans="1:41" s="10" customFormat="1" ht="12">
      <c r="A5" s="69"/>
      <c r="B5" s="69"/>
      <c r="D5" s="16"/>
      <c r="E5" s="278">
        <v>39813</v>
      </c>
      <c r="F5" s="278">
        <v>39814</v>
      </c>
      <c r="G5" s="278">
        <v>40180</v>
      </c>
      <c r="H5" s="278">
        <v>40546</v>
      </c>
      <c r="I5" s="278">
        <v>40912</v>
      </c>
      <c r="J5" s="162"/>
      <c r="K5" s="278">
        <v>41278</v>
      </c>
      <c r="L5" s="278">
        <v>42004</v>
      </c>
      <c r="M5" s="278">
        <v>42369</v>
      </c>
      <c r="N5" s="278">
        <v>42735</v>
      </c>
      <c r="O5" s="278">
        <v>43100</v>
      </c>
      <c r="P5" s="278">
        <v>43465</v>
      </c>
      <c r="Q5" s="278">
        <v>43830</v>
      </c>
      <c r="R5" s="430"/>
      <c r="S5" s="278" t="s">
        <v>347</v>
      </c>
      <c r="T5" s="278" t="s">
        <v>345</v>
      </c>
      <c r="U5" s="278" t="s">
        <v>343</v>
      </c>
      <c r="V5" s="278" t="s">
        <v>95</v>
      </c>
      <c r="W5" s="278" t="s">
        <v>97</v>
      </c>
      <c r="X5" s="278" t="s">
        <v>99</v>
      </c>
      <c r="Y5" s="278" t="s">
        <v>101</v>
      </c>
      <c r="Z5" s="278" t="s">
        <v>103</v>
      </c>
      <c r="AA5" s="278" t="s">
        <v>106</v>
      </c>
      <c r="AB5" s="278" t="s">
        <v>653</v>
      </c>
      <c r="AC5" s="278" t="s">
        <v>795</v>
      </c>
      <c r="AD5" s="69"/>
      <c r="AE5" s="69"/>
      <c r="AF5" s="69"/>
      <c r="AG5" s="69"/>
      <c r="AH5" s="69"/>
      <c r="AI5" s="69"/>
      <c r="AJ5" s="69"/>
      <c r="AK5" s="69"/>
      <c r="AL5" s="69"/>
      <c r="AM5" s="69"/>
      <c r="AN5" s="69"/>
      <c r="AO5" s="69"/>
    </row>
    <row r="6" spans="1:41" s="6" customFormat="1" ht="12">
      <c r="E6" s="292" t="s">
        <v>739</v>
      </c>
      <c r="F6" s="292" t="s">
        <v>739</v>
      </c>
      <c r="G6" s="276"/>
      <c r="H6" s="276"/>
      <c r="I6" s="276"/>
      <c r="J6" s="276"/>
      <c r="K6" s="276" t="s">
        <v>750</v>
      </c>
      <c r="L6" s="276"/>
      <c r="M6" s="276"/>
      <c r="N6" s="276"/>
      <c r="O6" s="276"/>
      <c r="P6" s="276"/>
      <c r="Q6" s="276"/>
      <c r="R6" s="25"/>
      <c r="S6" s="276"/>
      <c r="T6" s="276"/>
      <c r="U6" s="276"/>
      <c r="V6" s="276" t="s">
        <v>750</v>
      </c>
      <c r="W6" s="276"/>
      <c r="X6" s="276"/>
      <c r="Y6" s="276"/>
      <c r="Z6" s="276"/>
      <c r="AA6" s="276"/>
      <c r="AB6" s="276"/>
      <c r="AC6" s="276"/>
    </row>
    <row r="7" spans="1:41" s="6" customFormat="1" ht="12" customHeight="1">
      <c r="B7" s="467" t="s">
        <v>215</v>
      </c>
      <c r="D7" s="100" t="s">
        <v>19</v>
      </c>
      <c r="E7" s="349">
        <f t="shared" ref="E7:O7" si="0">SUM(E8:E15)</f>
        <v>1107477</v>
      </c>
      <c r="F7" s="349">
        <f t="shared" si="0"/>
        <v>1095804</v>
      </c>
      <c r="G7" s="349">
        <f t="shared" si="0"/>
        <v>1073931</v>
      </c>
      <c r="H7" s="349">
        <f t="shared" si="0"/>
        <v>1115135</v>
      </c>
      <c r="I7" s="349">
        <f t="shared" si="0"/>
        <v>1141618</v>
      </c>
      <c r="J7" s="349"/>
      <c r="K7" s="349">
        <f t="shared" si="0"/>
        <v>3024855</v>
      </c>
      <c r="L7" s="349">
        <f t="shared" si="0"/>
        <v>1780039</v>
      </c>
      <c r="M7" s="349">
        <f t="shared" si="0"/>
        <v>1360300</v>
      </c>
      <c r="N7" s="349">
        <f t="shared" si="0"/>
        <v>1462472</v>
      </c>
      <c r="O7" s="349">
        <f t="shared" si="0"/>
        <v>1428401</v>
      </c>
      <c r="P7" s="349">
        <f>SUM(P8:P15)</f>
        <v>1133885</v>
      </c>
      <c r="Q7" s="349">
        <f>SUM(Q8:Q15)</f>
        <v>1265191</v>
      </c>
      <c r="R7" s="324"/>
      <c r="S7" s="349">
        <f t="shared" ref="S7:AB7" si="1">SUM(S8:S15)</f>
        <v>1023358.9517233528</v>
      </c>
      <c r="T7" s="349">
        <f>SUM(T8:T15)</f>
        <v>1235160</v>
      </c>
      <c r="U7" s="349">
        <f t="shared" si="1"/>
        <v>1105401</v>
      </c>
      <c r="V7" s="349">
        <f t="shared" si="1"/>
        <v>1091520</v>
      </c>
      <c r="W7" s="349">
        <f t="shared" si="1"/>
        <v>2894059</v>
      </c>
      <c r="X7" s="349">
        <f t="shared" si="1"/>
        <v>1714773</v>
      </c>
      <c r="Y7" s="349">
        <f t="shared" si="1"/>
        <v>1501317</v>
      </c>
      <c r="Z7" s="349">
        <f>SUM(Z8:Z15)</f>
        <v>1478677</v>
      </c>
      <c r="AA7" s="349">
        <f t="shared" si="1"/>
        <v>1298041</v>
      </c>
      <c r="AB7" s="349">
        <f t="shared" si="1"/>
        <v>1248402</v>
      </c>
      <c r="AC7" s="349">
        <v>1114323</v>
      </c>
    </row>
    <row r="8" spans="1:41" s="6" customFormat="1" ht="12">
      <c r="B8" s="467"/>
      <c r="D8" s="35" t="s">
        <v>20</v>
      </c>
      <c r="E8" s="170">
        <v>880076</v>
      </c>
      <c r="F8" s="170">
        <v>883636</v>
      </c>
      <c r="G8" s="170">
        <v>886691</v>
      </c>
      <c r="H8" s="170">
        <v>889961</v>
      </c>
      <c r="I8" s="170">
        <v>928043</v>
      </c>
      <c r="J8" s="170"/>
      <c r="K8" s="170">
        <v>1326338</v>
      </c>
      <c r="L8" s="170">
        <v>732235</v>
      </c>
      <c r="M8" s="170">
        <v>499145</v>
      </c>
      <c r="N8" s="170">
        <v>580226</v>
      </c>
      <c r="O8" s="170">
        <v>553304</v>
      </c>
      <c r="P8" s="170">
        <v>460942</v>
      </c>
      <c r="Q8" s="170">
        <v>499335</v>
      </c>
      <c r="R8" s="322"/>
      <c r="S8" s="170">
        <v>837870</v>
      </c>
      <c r="T8" s="170">
        <v>981791</v>
      </c>
      <c r="U8" s="170">
        <v>883773</v>
      </c>
      <c r="V8" s="170">
        <v>887057</v>
      </c>
      <c r="W8" s="170">
        <v>1256436</v>
      </c>
      <c r="X8" s="170">
        <v>674396</v>
      </c>
      <c r="Y8" s="170">
        <v>552094</v>
      </c>
      <c r="Z8" s="170">
        <v>572226</v>
      </c>
      <c r="AA8" s="170">
        <v>500549</v>
      </c>
      <c r="AB8" s="170">
        <v>490698</v>
      </c>
      <c r="AC8" s="170">
        <v>434846</v>
      </c>
    </row>
    <row r="9" spans="1:41" s="6" customFormat="1" ht="12">
      <c r="B9" s="467"/>
      <c r="D9" s="36" t="s">
        <v>720</v>
      </c>
      <c r="E9" s="399" t="s">
        <v>694</v>
      </c>
      <c r="F9" s="399" t="s">
        <v>694</v>
      </c>
      <c r="G9" s="399" t="s">
        <v>694</v>
      </c>
      <c r="H9" s="399" t="s">
        <v>694</v>
      </c>
      <c r="I9" s="399" t="s">
        <v>694</v>
      </c>
      <c r="J9" s="399"/>
      <c r="K9" s="399" t="s">
        <v>694</v>
      </c>
      <c r="L9" s="345" t="s">
        <v>694</v>
      </c>
      <c r="M9" s="345" t="s">
        <v>694</v>
      </c>
      <c r="N9" s="345" t="s">
        <v>694</v>
      </c>
      <c r="O9" s="345" t="s">
        <v>694</v>
      </c>
      <c r="P9" s="345" t="s">
        <v>694</v>
      </c>
      <c r="Q9" s="170">
        <v>639699</v>
      </c>
      <c r="R9" s="322"/>
      <c r="S9" s="345" t="s">
        <v>694</v>
      </c>
      <c r="T9" s="345" t="s">
        <v>694</v>
      </c>
      <c r="U9" s="345" t="s">
        <v>694</v>
      </c>
      <c r="V9" s="345" t="s">
        <v>694</v>
      </c>
      <c r="W9" s="345" t="s">
        <v>694</v>
      </c>
      <c r="X9" s="345" t="s">
        <v>694</v>
      </c>
      <c r="Y9" s="345" t="s">
        <v>694</v>
      </c>
      <c r="Z9" s="345" t="s">
        <v>694</v>
      </c>
      <c r="AA9" s="345" t="s">
        <v>694</v>
      </c>
      <c r="AB9" s="170">
        <v>632770</v>
      </c>
      <c r="AC9" s="170">
        <v>561148</v>
      </c>
    </row>
    <row r="10" spans="1:41" s="6" customFormat="1" ht="12">
      <c r="B10" s="467"/>
      <c r="D10" s="36" t="s">
        <v>21</v>
      </c>
      <c r="E10" s="170">
        <v>193913</v>
      </c>
      <c r="F10" s="170">
        <v>186164</v>
      </c>
      <c r="G10" s="170">
        <v>171791</v>
      </c>
      <c r="H10" s="170">
        <v>177281</v>
      </c>
      <c r="I10" s="170">
        <v>170325</v>
      </c>
      <c r="J10" s="170"/>
      <c r="K10" s="170">
        <v>1441140</v>
      </c>
      <c r="L10" s="170">
        <v>822247</v>
      </c>
      <c r="M10" s="170">
        <v>622686</v>
      </c>
      <c r="N10" s="170">
        <v>666223</v>
      </c>
      <c r="O10" s="171">
        <v>690858</v>
      </c>
      <c r="P10" s="170">
        <v>565238</v>
      </c>
      <c r="Q10" s="170">
        <v>13964</v>
      </c>
      <c r="R10" s="322"/>
      <c r="S10" s="170">
        <v>167102</v>
      </c>
      <c r="T10" s="170">
        <v>202539</v>
      </c>
      <c r="U10" s="170">
        <v>170392</v>
      </c>
      <c r="V10" s="170">
        <v>160213</v>
      </c>
      <c r="W10" s="170">
        <v>1388907</v>
      </c>
      <c r="X10" s="171">
        <v>825282</v>
      </c>
      <c r="Y10" s="170">
        <v>699535</v>
      </c>
      <c r="Z10" s="170">
        <v>679790</v>
      </c>
      <c r="AA10" s="170">
        <v>628973</v>
      </c>
      <c r="AB10" s="170">
        <v>14275</v>
      </c>
      <c r="AC10" s="170">
        <v>12547</v>
      </c>
    </row>
    <row r="11" spans="1:41" s="6" customFormat="1" ht="12">
      <c r="B11" s="467"/>
      <c r="D11" s="36" t="s">
        <v>22</v>
      </c>
      <c r="E11" s="170">
        <v>0</v>
      </c>
      <c r="F11" s="170">
        <v>0</v>
      </c>
      <c r="G11" s="170">
        <v>0</v>
      </c>
      <c r="H11" s="170">
        <v>0</v>
      </c>
      <c r="I11" s="170">
        <v>0</v>
      </c>
      <c r="J11" s="170"/>
      <c r="K11" s="170">
        <v>231019</v>
      </c>
      <c r="L11" s="170">
        <v>188340</v>
      </c>
      <c r="M11" s="170">
        <v>167815</v>
      </c>
      <c r="N11" s="170">
        <v>123149</v>
      </c>
      <c r="O11" s="171">
        <v>56918</v>
      </c>
      <c r="P11" s="170">
        <v>24795</v>
      </c>
      <c r="Q11" s="170">
        <v>27590</v>
      </c>
      <c r="R11" s="322"/>
      <c r="S11" s="170">
        <v>0</v>
      </c>
      <c r="T11" s="170">
        <v>0</v>
      </c>
      <c r="U11" s="170">
        <v>0</v>
      </c>
      <c r="V11" s="170">
        <v>0</v>
      </c>
      <c r="W11" s="170">
        <v>232299</v>
      </c>
      <c r="X11" s="171">
        <v>180188</v>
      </c>
      <c r="Y11" s="170">
        <v>175169</v>
      </c>
      <c r="Z11" s="170">
        <v>116302</v>
      </c>
      <c r="AA11" s="170">
        <v>53081</v>
      </c>
      <c r="AB11" s="170">
        <v>28580</v>
      </c>
      <c r="AC11" s="170">
        <v>24472</v>
      </c>
    </row>
    <row r="12" spans="1:41" s="6" customFormat="1" ht="12">
      <c r="B12" s="467"/>
      <c r="D12" s="36" t="s">
        <v>23</v>
      </c>
      <c r="E12" s="170">
        <v>19437</v>
      </c>
      <c r="F12" s="170">
        <v>20176</v>
      </c>
      <c r="G12" s="170">
        <v>9693</v>
      </c>
      <c r="H12" s="170">
        <v>39530</v>
      </c>
      <c r="I12" s="170">
        <v>30574</v>
      </c>
      <c r="J12" s="170"/>
      <c r="K12" s="170">
        <v>10980</v>
      </c>
      <c r="L12" s="170">
        <v>4431</v>
      </c>
      <c r="M12" s="170">
        <v>3357</v>
      </c>
      <c r="N12" s="170">
        <v>4640</v>
      </c>
      <c r="O12" s="171">
        <v>8393</v>
      </c>
      <c r="P12" s="170">
        <v>7513</v>
      </c>
      <c r="Q12" s="170">
        <v>5843</v>
      </c>
      <c r="R12" s="322"/>
      <c r="S12" s="170">
        <v>12941</v>
      </c>
      <c r="T12" s="170">
        <v>17838</v>
      </c>
      <c r="U12" s="170">
        <v>41972</v>
      </c>
      <c r="V12" s="170">
        <v>27109</v>
      </c>
      <c r="W12" s="170">
        <v>13116</v>
      </c>
      <c r="X12" s="171">
        <v>4852</v>
      </c>
      <c r="Y12" s="170">
        <v>5130</v>
      </c>
      <c r="Z12" s="170">
        <v>4998</v>
      </c>
      <c r="AA12" s="170">
        <v>8983</v>
      </c>
      <c r="AB12" s="170">
        <v>4802</v>
      </c>
      <c r="AC12" s="170">
        <v>5663</v>
      </c>
    </row>
    <row r="13" spans="1:41" s="6" customFormat="1" ht="12">
      <c r="B13" s="467"/>
      <c r="D13" s="36" t="s">
        <v>24</v>
      </c>
      <c r="E13" s="170">
        <v>0</v>
      </c>
      <c r="F13" s="170">
        <v>0</v>
      </c>
      <c r="G13" s="170">
        <v>0</v>
      </c>
      <c r="H13" s="170">
        <v>0</v>
      </c>
      <c r="I13" s="170">
        <v>0</v>
      </c>
      <c r="J13" s="170"/>
      <c r="K13" s="170">
        <v>517</v>
      </c>
      <c r="L13" s="170">
        <v>30701</v>
      </c>
      <c r="M13" s="170">
        <v>66021</v>
      </c>
      <c r="N13" s="170">
        <v>44440</v>
      </c>
      <c r="O13" s="171">
        <v>45529</v>
      </c>
      <c r="P13" s="170">
        <v>60499</v>
      </c>
      <c r="Q13" s="170">
        <v>61264</v>
      </c>
      <c r="R13" s="322"/>
      <c r="S13" s="170">
        <v>0</v>
      </c>
      <c r="T13" s="170">
        <v>0</v>
      </c>
      <c r="U13" s="170">
        <v>0</v>
      </c>
      <c r="V13" s="170">
        <v>0</v>
      </c>
      <c r="W13" s="170">
        <v>0</v>
      </c>
      <c r="X13" s="171">
        <v>28130</v>
      </c>
      <c r="Y13" s="170">
        <v>51483</v>
      </c>
      <c r="Z13" s="170">
        <v>45338</v>
      </c>
      <c r="AA13" s="170">
        <v>53054</v>
      </c>
      <c r="AB13" s="170">
        <v>59794</v>
      </c>
      <c r="AC13" s="170">
        <v>53744</v>
      </c>
    </row>
    <row r="14" spans="1:41" s="6" customFormat="1" ht="12">
      <c r="B14" s="467"/>
      <c r="D14" s="36" t="s">
        <v>25</v>
      </c>
      <c r="E14" s="170">
        <v>0</v>
      </c>
      <c r="F14" s="170">
        <v>0</v>
      </c>
      <c r="G14" s="170">
        <v>0</v>
      </c>
      <c r="H14" s="170">
        <v>0</v>
      </c>
      <c r="I14" s="170">
        <v>0</v>
      </c>
      <c r="J14" s="170"/>
      <c r="K14" s="170">
        <v>0</v>
      </c>
      <c r="L14" s="170">
        <v>0</v>
      </c>
      <c r="M14" s="170">
        <v>0</v>
      </c>
      <c r="N14" s="170">
        <v>35529</v>
      </c>
      <c r="O14" s="171">
        <v>58840</v>
      </c>
      <c r="P14" s="170">
        <v>0</v>
      </c>
      <c r="Q14" s="170">
        <v>0</v>
      </c>
      <c r="R14" s="322"/>
      <c r="S14" s="170">
        <v>0</v>
      </c>
      <c r="T14" s="170">
        <v>0</v>
      </c>
      <c r="U14" s="170">
        <v>0</v>
      </c>
      <c r="V14" s="170">
        <v>0</v>
      </c>
      <c r="W14" s="170">
        <v>0</v>
      </c>
      <c r="X14" s="171">
        <v>0</v>
      </c>
      <c r="Y14" s="170">
        <v>11326</v>
      </c>
      <c r="Z14" s="170">
        <v>44800</v>
      </c>
      <c r="AA14" s="170">
        <v>37383</v>
      </c>
      <c r="AB14" s="170">
        <v>0</v>
      </c>
      <c r="AC14" s="170">
        <v>6612</v>
      </c>
    </row>
    <row r="15" spans="1:41" s="6" customFormat="1" ht="12">
      <c r="B15" s="467"/>
      <c r="D15" s="41" t="s">
        <v>26</v>
      </c>
      <c r="E15" s="170">
        <v>14051</v>
      </c>
      <c r="F15" s="170">
        <v>5828</v>
      </c>
      <c r="G15" s="170">
        <v>5756</v>
      </c>
      <c r="H15" s="170">
        <v>8363</v>
      </c>
      <c r="I15" s="170">
        <v>12676</v>
      </c>
      <c r="J15" s="170"/>
      <c r="K15" s="170">
        <v>14861</v>
      </c>
      <c r="L15" s="170">
        <v>2085</v>
      </c>
      <c r="M15" s="170">
        <v>1276</v>
      </c>
      <c r="N15" s="170">
        <v>8265</v>
      </c>
      <c r="O15" s="326">
        <v>14559</v>
      </c>
      <c r="P15" s="170">
        <v>14898</v>
      </c>
      <c r="Q15" s="170">
        <v>17496</v>
      </c>
      <c r="R15" s="322"/>
      <c r="S15" s="170">
        <v>5445.9517233527267</v>
      </c>
      <c r="T15" s="170">
        <v>32992</v>
      </c>
      <c r="U15" s="170">
        <v>9264</v>
      </c>
      <c r="V15" s="170">
        <v>17141</v>
      </c>
      <c r="W15" s="170">
        <v>3301</v>
      </c>
      <c r="X15" s="326">
        <v>1925</v>
      </c>
      <c r="Y15" s="170">
        <v>6580</v>
      </c>
      <c r="Z15" s="170">
        <v>15223</v>
      </c>
      <c r="AA15" s="170">
        <v>16018</v>
      </c>
      <c r="AB15" s="170">
        <v>17483</v>
      </c>
      <c r="AC15" s="170">
        <v>15291</v>
      </c>
    </row>
    <row r="16" spans="1:41" s="6" customFormat="1" ht="12">
      <c r="B16" s="467"/>
      <c r="D16" s="120" t="s">
        <v>27</v>
      </c>
      <c r="E16" s="323">
        <f t="shared" ref="E16:O16" si="2">SUM(E17:E23)</f>
        <v>193767</v>
      </c>
      <c r="F16" s="323">
        <f t="shared" si="2"/>
        <v>91381</v>
      </c>
      <c r="G16" s="323">
        <f t="shared" si="2"/>
        <v>124094</v>
      </c>
      <c r="H16" s="323">
        <f t="shared" si="2"/>
        <v>222839</v>
      </c>
      <c r="I16" s="323">
        <f t="shared" si="2"/>
        <v>167297</v>
      </c>
      <c r="J16" s="323"/>
      <c r="K16" s="323">
        <f>SUM(K17:K23)</f>
        <v>251955</v>
      </c>
      <c r="L16" s="323">
        <f t="shared" si="2"/>
        <v>133523</v>
      </c>
      <c r="M16" s="323">
        <f t="shared" si="2"/>
        <v>159478</v>
      </c>
      <c r="N16" s="323">
        <f t="shared" si="2"/>
        <v>180535</v>
      </c>
      <c r="O16" s="323">
        <f t="shared" si="2"/>
        <v>227158</v>
      </c>
      <c r="P16" s="323">
        <f>SUM(P17:P23)</f>
        <v>154453</v>
      </c>
      <c r="Q16" s="323">
        <f>SUM(Q17:Q23)</f>
        <v>189088</v>
      </c>
      <c r="R16" s="324"/>
      <c r="S16" s="323">
        <f t="shared" ref="S16:AB16" si="3">SUM(S17:S23)</f>
        <v>106872.14461113073</v>
      </c>
      <c r="T16" s="323">
        <f>SUM(T17:T23)</f>
        <v>228911</v>
      </c>
      <c r="U16" s="323">
        <f t="shared" si="3"/>
        <v>286805</v>
      </c>
      <c r="V16" s="323">
        <f t="shared" si="3"/>
        <v>158639</v>
      </c>
      <c r="W16" s="323">
        <f t="shared" si="3"/>
        <v>184498</v>
      </c>
      <c r="X16" s="323">
        <f>SUM(X17:X23)</f>
        <v>166850</v>
      </c>
      <c r="Y16" s="323">
        <f t="shared" si="3"/>
        <v>183123</v>
      </c>
      <c r="Z16" s="323">
        <f>SUM(Z17:Z23)</f>
        <v>184838</v>
      </c>
      <c r="AA16" s="323">
        <f t="shared" si="3"/>
        <v>224473</v>
      </c>
      <c r="AB16" s="323">
        <f t="shared" si="3"/>
        <v>202109</v>
      </c>
      <c r="AC16" s="323">
        <v>221585</v>
      </c>
    </row>
    <row r="17" spans="2:29" s="6" customFormat="1" ht="12">
      <c r="B17" s="467"/>
      <c r="D17" s="35" t="s">
        <v>28</v>
      </c>
      <c r="E17" s="170">
        <v>6537</v>
      </c>
      <c r="F17" s="170">
        <v>5703</v>
      </c>
      <c r="G17" s="170">
        <v>6272</v>
      </c>
      <c r="H17" s="170">
        <v>6290</v>
      </c>
      <c r="I17" s="170">
        <v>5985</v>
      </c>
      <c r="J17" s="170"/>
      <c r="K17" s="170">
        <v>7583</v>
      </c>
      <c r="L17" s="170">
        <v>4996</v>
      </c>
      <c r="M17" s="170">
        <v>3825</v>
      </c>
      <c r="N17" s="170">
        <v>5013</v>
      </c>
      <c r="O17" s="170">
        <v>5769</v>
      </c>
      <c r="P17" s="170">
        <v>6555</v>
      </c>
      <c r="Q17" s="170">
        <v>8306</v>
      </c>
      <c r="R17" s="322"/>
      <c r="S17" s="170">
        <v>6473.9719417474771</v>
      </c>
      <c r="T17" s="170">
        <v>7845</v>
      </c>
      <c r="U17" s="170">
        <v>6117</v>
      </c>
      <c r="V17" s="170">
        <v>6201</v>
      </c>
      <c r="W17" s="170">
        <v>8775</v>
      </c>
      <c r="X17" s="170">
        <v>5173</v>
      </c>
      <c r="Y17" s="170">
        <v>4356</v>
      </c>
      <c r="Z17" s="170">
        <v>5162</v>
      </c>
      <c r="AA17" s="170">
        <v>5931</v>
      </c>
      <c r="AB17" s="170">
        <v>7040</v>
      </c>
      <c r="AC17" s="170">
        <v>8015</v>
      </c>
    </row>
    <row r="18" spans="2:29" s="6" customFormat="1" ht="12">
      <c r="B18" s="467"/>
      <c r="D18" s="36" t="s">
        <v>25</v>
      </c>
      <c r="E18" s="170">
        <v>0</v>
      </c>
      <c r="F18" s="170">
        <v>0</v>
      </c>
      <c r="G18" s="170">
        <v>0</v>
      </c>
      <c r="H18" s="170">
        <v>0</v>
      </c>
      <c r="I18" s="170">
        <v>0</v>
      </c>
      <c r="J18" s="170"/>
      <c r="K18" s="170">
        <v>0</v>
      </c>
      <c r="L18" s="170">
        <v>0</v>
      </c>
      <c r="M18" s="170">
        <v>0</v>
      </c>
      <c r="N18" s="170">
        <v>17428</v>
      </c>
      <c r="O18" s="171">
        <v>19546</v>
      </c>
      <c r="P18" s="170">
        <v>0</v>
      </c>
      <c r="Q18" s="170">
        <v>0</v>
      </c>
      <c r="R18" s="322"/>
      <c r="S18" s="170">
        <v>0</v>
      </c>
      <c r="T18" s="170">
        <v>0</v>
      </c>
      <c r="U18" s="170">
        <v>0</v>
      </c>
      <c r="V18" s="170">
        <v>0</v>
      </c>
      <c r="W18" s="170">
        <v>0</v>
      </c>
      <c r="X18" s="171">
        <v>0</v>
      </c>
      <c r="Y18" s="170">
        <v>15795</v>
      </c>
      <c r="Z18" s="170">
        <v>18461</v>
      </c>
      <c r="AA18" s="170">
        <v>17017</v>
      </c>
      <c r="AB18" s="170">
        <v>0</v>
      </c>
      <c r="AC18" s="170">
        <v>505</v>
      </c>
    </row>
    <row r="19" spans="2:29" s="6" customFormat="1" ht="12">
      <c r="B19" s="467"/>
      <c r="D19" s="36" t="s">
        <v>26</v>
      </c>
      <c r="E19" s="170">
        <v>83726</v>
      </c>
      <c r="F19" s="170">
        <v>35398</v>
      </c>
      <c r="G19" s="170">
        <v>50876</v>
      </c>
      <c r="H19" s="170">
        <v>75272</v>
      </c>
      <c r="I19" s="170">
        <v>57412</v>
      </c>
      <c r="J19" s="170"/>
      <c r="K19" s="170">
        <v>126649</v>
      </c>
      <c r="L19" s="170">
        <v>41258</v>
      </c>
      <c r="M19" s="170">
        <v>29800</v>
      </c>
      <c r="N19" s="170">
        <v>38011</v>
      </c>
      <c r="O19" s="171">
        <v>33630</v>
      </c>
      <c r="P19" s="170">
        <v>40901</v>
      </c>
      <c r="Q19" s="170">
        <v>45487</v>
      </c>
      <c r="R19" s="322"/>
      <c r="S19" s="170">
        <v>43527</v>
      </c>
      <c r="T19" s="170">
        <v>64678</v>
      </c>
      <c r="U19" s="170">
        <v>75757</v>
      </c>
      <c r="V19" s="170">
        <v>58503</v>
      </c>
      <c r="W19" s="170">
        <v>57989</v>
      </c>
      <c r="X19" s="171">
        <v>38228</v>
      </c>
      <c r="Y19" s="170">
        <v>35917</v>
      </c>
      <c r="Z19" s="170">
        <v>32273</v>
      </c>
      <c r="AA19" s="170">
        <v>36274</v>
      </c>
      <c r="AB19" s="170">
        <v>48138</v>
      </c>
      <c r="AC19" s="170">
        <v>56574</v>
      </c>
    </row>
    <row r="20" spans="2:29" s="6" customFormat="1" ht="12">
      <c r="B20" s="467"/>
      <c r="D20" s="36" t="s">
        <v>29</v>
      </c>
      <c r="E20" s="170">
        <v>803</v>
      </c>
      <c r="F20" s="170">
        <v>2187</v>
      </c>
      <c r="G20" s="170">
        <v>218</v>
      </c>
      <c r="H20" s="170">
        <v>325</v>
      </c>
      <c r="I20" s="170">
        <v>402</v>
      </c>
      <c r="J20" s="170"/>
      <c r="K20" s="170">
        <v>3515</v>
      </c>
      <c r="L20" s="170">
        <v>8461</v>
      </c>
      <c r="M20" s="170">
        <v>2718</v>
      </c>
      <c r="N20" s="170">
        <v>804</v>
      </c>
      <c r="O20" s="171">
        <v>2366</v>
      </c>
      <c r="P20" s="170">
        <v>3611</v>
      </c>
      <c r="Q20" s="170">
        <v>10942</v>
      </c>
      <c r="R20" s="322"/>
      <c r="S20" s="170">
        <v>204</v>
      </c>
      <c r="T20" s="170">
        <v>889</v>
      </c>
      <c r="U20" s="170">
        <v>107</v>
      </c>
      <c r="V20" s="170">
        <v>2339</v>
      </c>
      <c r="W20" s="170">
        <v>2246</v>
      </c>
      <c r="X20" s="171">
        <v>6076</v>
      </c>
      <c r="Y20" s="170">
        <v>7855</v>
      </c>
      <c r="Z20" s="170">
        <v>12997</v>
      </c>
      <c r="AA20" s="170">
        <v>6351</v>
      </c>
      <c r="AB20" s="170">
        <v>7555</v>
      </c>
      <c r="AC20" s="170">
        <v>6848</v>
      </c>
    </row>
    <row r="21" spans="2:29" s="6" customFormat="1" ht="12">
      <c r="B21" s="467"/>
      <c r="D21" s="36" t="s">
        <v>663</v>
      </c>
      <c r="E21" s="170">
        <v>0</v>
      </c>
      <c r="F21" s="170">
        <v>4000</v>
      </c>
      <c r="G21" s="170">
        <v>19373</v>
      </c>
      <c r="H21" s="170">
        <v>3884</v>
      </c>
      <c r="I21" s="170">
        <v>13854</v>
      </c>
      <c r="J21" s="170"/>
      <c r="K21" s="170">
        <v>989</v>
      </c>
      <c r="L21" s="170">
        <v>0</v>
      </c>
      <c r="M21" s="170">
        <v>0</v>
      </c>
      <c r="N21" s="170">
        <v>0</v>
      </c>
      <c r="O21" s="171">
        <v>0</v>
      </c>
      <c r="P21" s="170">
        <v>0</v>
      </c>
      <c r="Q21" s="170">
        <v>0</v>
      </c>
      <c r="R21" s="322"/>
      <c r="S21" s="170">
        <v>0</v>
      </c>
      <c r="T21" s="170">
        <v>0</v>
      </c>
      <c r="U21" s="170">
        <v>2241</v>
      </c>
      <c r="V21" s="170">
        <v>0</v>
      </c>
      <c r="W21" s="170">
        <v>0</v>
      </c>
      <c r="X21" s="171">
        <v>0</v>
      </c>
      <c r="Y21" s="170">
        <v>0</v>
      </c>
      <c r="Z21" s="170">
        <v>0</v>
      </c>
      <c r="AA21" s="170">
        <v>0</v>
      </c>
      <c r="AB21" s="170">
        <v>0</v>
      </c>
      <c r="AC21" s="170">
        <v>0</v>
      </c>
    </row>
    <row r="22" spans="2:29" s="6" customFormat="1" ht="12">
      <c r="B22" s="467"/>
      <c r="D22" s="36" t="s">
        <v>30</v>
      </c>
      <c r="E22" s="170">
        <v>102701</v>
      </c>
      <c r="F22" s="170">
        <v>44093</v>
      </c>
      <c r="G22" s="170">
        <v>47355</v>
      </c>
      <c r="H22" s="170">
        <v>137068</v>
      </c>
      <c r="I22" s="170">
        <v>89644</v>
      </c>
      <c r="J22" s="170"/>
      <c r="K22" s="170">
        <v>113219</v>
      </c>
      <c r="L22" s="170">
        <v>78808</v>
      </c>
      <c r="M22" s="170">
        <v>123135</v>
      </c>
      <c r="N22" s="170">
        <v>119279</v>
      </c>
      <c r="O22" s="171">
        <v>130434</v>
      </c>
      <c r="P22" s="170">
        <v>91613</v>
      </c>
      <c r="Q22" s="170">
        <v>124353</v>
      </c>
      <c r="R22" s="322"/>
      <c r="S22" s="170">
        <v>56667.172669383261</v>
      </c>
      <c r="T22" s="170">
        <v>155499</v>
      </c>
      <c r="U22" s="170">
        <v>202583</v>
      </c>
      <c r="V22" s="170">
        <v>91596</v>
      </c>
      <c r="W22" s="170">
        <v>115488</v>
      </c>
      <c r="X22" s="171">
        <v>117373</v>
      </c>
      <c r="Y22" s="170">
        <v>119200</v>
      </c>
      <c r="Z22" s="170">
        <v>115945</v>
      </c>
      <c r="AA22" s="170">
        <v>125851</v>
      </c>
      <c r="AB22" s="170">
        <v>139376</v>
      </c>
      <c r="AC22" s="170">
        <v>149643</v>
      </c>
    </row>
    <row r="23" spans="2:29" s="6" customFormat="1" ht="12">
      <c r="B23" s="467"/>
      <c r="D23" s="41" t="s">
        <v>31</v>
      </c>
      <c r="E23" s="170">
        <v>0</v>
      </c>
      <c r="F23" s="170">
        <v>0</v>
      </c>
      <c r="G23" s="170">
        <v>0</v>
      </c>
      <c r="H23" s="170">
        <v>0</v>
      </c>
      <c r="I23" s="170">
        <v>0</v>
      </c>
      <c r="J23" s="170"/>
      <c r="K23" s="170">
        <v>0</v>
      </c>
      <c r="L23" s="170">
        <v>0</v>
      </c>
      <c r="M23" s="170">
        <v>0</v>
      </c>
      <c r="N23" s="170">
        <v>0</v>
      </c>
      <c r="O23" s="326">
        <v>35413</v>
      </c>
      <c r="P23" s="170">
        <v>11773</v>
      </c>
      <c r="Q23" s="170">
        <v>0</v>
      </c>
      <c r="R23" s="322"/>
      <c r="S23" s="170">
        <v>0</v>
      </c>
      <c r="T23" s="170">
        <v>0</v>
      </c>
      <c r="U23" s="170">
        <v>0</v>
      </c>
      <c r="V23" s="170">
        <v>0</v>
      </c>
      <c r="W23" s="170">
        <v>0</v>
      </c>
      <c r="X23" s="326">
        <v>0</v>
      </c>
      <c r="Y23" s="170">
        <v>0</v>
      </c>
      <c r="Z23" s="170">
        <v>0</v>
      </c>
      <c r="AA23" s="170">
        <v>33049</v>
      </c>
      <c r="AB23" s="170">
        <v>0</v>
      </c>
      <c r="AC23" s="170">
        <v>0</v>
      </c>
    </row>
    <row r="24" spans="2:29" s="6" customFormat="1" ht="12">
      <c r="B24" s="467"/>
      <c r="D24" s="120" t="s">
        <v>32</v>
      </c>
      <c r="E24" s="323">
        <f t="shared" ref="E24:O24" si="4">E16+E7</f>
        <v>1301244</v>
      </c>
      <c r="F24" s="323">
        <f t="shared" si="4"/>
        <v>1187185</v>
      </c>
      <c r="G24" s="323">
        <f t="shared" si="4"/>
        <v>1198025</v>
      </c>
      <c r="H24" s="323">
        <f t="shared" si="4"/>
        <v>1337974</v>
      </c>
      <c r="I24" s="323">
        <f t="shared" si="4"/>
        <v>1308915</v>
      </c>
      <c r="J24" s="323"/>
      <c r="K24" s="323">
        <f t="shared" si="4"/>
        <v>3276810</v>
      </c>
      <c r="L24" s="323">
        <f t="shared" si="4"/>
        <v>1913562</v>
      </c>
      <c r="M24" s="323">
        <f t="shared" si="4"/>
        <v>1519778</v>
      </c>
      <c r="N24" s="323">
        <f t="shared" si="4"/>
        <v>1643007</v>
      </c>
      <c r="O24" s="323">
        <f t="shared" si="4"/>
        <v>1655559</v>
      </c>
      <c r="P24" s="323">
        <f>P16+P7</f>
        <v>1288338</v>
      </c>
      <c r="Q24" s="323">
        <f>Q16+Q7</f>
        <v>1454279</v>
      </c>
      <c r="R24" s="324"/>
      <c r="S24" s="323">
        <f t="shared" ref="S24:AB24" si="5">S16+S7</f>
        <v>1130231.0963344835</v>
      </c>
      <c r="T24" s="323">
        <f>T16+T7</f>
        <v>1464071</v>
      </c>
      <c r="U24" s="323">
        <f t="shared" si="5"/>
        <v>1392206</v>
      </c>
      <c r="V24" s="323">
        <f t="shared" si="5"/>
        <v>1250159</v>
      </c>
      <c r="W24" s="323">
        <f t="shared" si="5"/>
        <v>3078557</v>
      </c>
      <c r="X24" s="323">
        <f t="shared" si="5"/>
        <v>1881623</v>
      </c>
      <c r="Y24" s="323">
        <f t="shared" si="5"/>
        <v>1684440</v>
      </c>
      <c r="Z24" s="323">
        <f t="shared" si="5"/>
        <v>1663515</v>
      </c>
      <c r="AA24" s="323">
        <f t="shared" si="5"/>
        <v>1522514</v>
      </c>
      <c r="AB24" s="323">
        <f t="shared" si="5"/>
        <v>1450511</v>
      </c>
      <c r="AC24" s="323">
        <f>AC16+AC7</f>
        <v>1335908</v>
      </c>
    </row>
    <row r="25" spans="2:29" s="6" customFormat="1" ht="12">
      <c r="D25" s="35"/>
      <c r="E25" s="170"/>
      <c r="F25" s="170"/>
      <c r="G25" s="170"/>
      <c r="H25" s="170"/>
      <c r="I25" s="170"/>
      <c r="J25" s="170"/>
      <c r="K25" s="170"/>
      <c r="L25" s="170"/>
      <c r="M25" s="170"/>
      <c r="N25" s="170"/>
      <c r="O25" s="170"/>
      <c r="P25" s="170"/>
      <c r="Q25" s="170"/>
      <c r="R25" s="322"/>
      <c r="S25" s="170"/>
      <c r="T25" s="170"/>
      <c r="U25" s="170"/>
      <c r="V25" s="170"/>
      <c r="W25" s="170"/>
      <c r="X25" s="170"/>
      <c r="Y25" s="170"/>
      <c r="Z25" s="170"/>
      <c r="AA25" s="170"/>
      <c r="AB25" s="170"/>
      <c r="AC25" s="170"/>
    </row>
    <row r="26" spans="2:29" s="6" customFormat="1" ht="12">
      <c r="B26" s="466" t="s">
        <v>561</v>
      </c>
      <c r="D26" s="120" t="s">
        <v>33</v>
      </c>
      <c r="E26" s="323">
        <f t="shared" ref="E26:G26" si="6">E27+E36</f>
        <v>764685</v>
      </c>
      <c r="F26" s="323">
        <f t="shared" si="6"/>
        <v>784845</v>
      </c>
      <c r="G26" s="323">
        <f t="shared" si="6"/>
        <v>837349</v>
      </c>
      <c r="H26" s="323">
        <f t="shared" ref="H26:P26" si="7">H27+H36</f>
        <v>975221</v>
      </c>
      <c r="I26" s="323">
        <f t="shared" si="7"/>
        <v>819286</v>
      </c>
      <c r="J26" s="323"/>
      <c r="K26" s="323">
        <f t="shared" si="7"/>
        <v>1192677</v>
      </c>
      <c r="L26" s="323">
        <f t="shared" si="7"/>
        <v>391727</v>
      </c>
      <c r="M26" s="323">
        <f t="shared" si="7"/>
        <v>171932</v>
      </c>
      <c r="N26" s="323">
        <f t="shared" si="7"/>
        <v>324916</v>
      </c>
      <c r="O26" s="323">
        <f t="shared" si="7"/>
        <v>377238</v>
      </c>
      <c r="P26" s="323">
        <f t="shared" si="7"/>
        <v>246066</v>
      </c>
      <c r="Q26" s="323">
        <f>Q27+Q36</f>
        <v>396084</v>
      </c>
      <c r="R26" s="324"/>
      <c r="S26" s="323">
        <f t="shared" ref="S26:AB26" si="8">S27+S36</f>
        <v>762359.12759946648</v>
      </c>
      <c r="T26" s="323">
        <f>T27+T36</f>
        <v>1058417</v>
      </c>
      <c r="U26" s="323">
        <f t="shared" si="8"/>
        <v>988842</v>
      </c>
      <c r="V26" s="323">
        <f t="shared" si="8"/>
        <v>707360.35825512104</v>
      </c>
      <c r="W26" s="323">
        <f t="shared" si="8"/>
        <v>1218201</v>
      </c>
      <c r="X26" s="323">
        <f t="shared" si="8"/>
        <v>422427</v>
      </c>
      <c r="Y26" s="323">
        <f t="shared" si="8"/>
        <v>331054</v>
      </c>
      <c r="Z26" s="323">
        <f t="shared" si="8"/>
        <v>366779</v>
      </c>
      <c r="AA26" s="323">
        <f t="shared" si="8"/>
        <v>323480</v>
      </c>
      <c r="AB26" s="323">
        <f t="shared" si="8"/>
        <v>360179</v>
      </c>
      <c r="AC26" s="323">
        <v>359464</v>
      </c>
    </row>
    <row r="27" spans="2:29" s="6" customFormat="1" ht="12">
      <c r="B27" s="466"/>
      <c r="D27" s="120" t="s">
        <v>34</v>
      </c>
      <c r="E27" s="323">
        <f t="shared" ref="E27:N27" si="9">SUM(E28:E35)</f>
        <v>747043</v>
      </c>
      <c r="F27" s="323">
        <f t="shared" si="9"/>
        <v>764774</v>
      </c>
      <c r="G27" s="323">
        <f t="shared" si="9"/>
        <v>816465</v>
      </c>
      <c r="H27" s="323">
        <f t="shared" si="9"/>
        <v>954104</v>
      </c>
      <c r="I27" s="323">
        <f t="shared" si="9"/>
        <v>816774</v>
      </c>
      <c r="J27" s="323"/>
      <c r="K27" s="323">
        <f t="shared" si="9"/>
        <v>1208030</v>
      </c>
      <c r="L27" s="323">
        <f t="shared" si="9"/>
        <v>366316</v>
      </c>
      <c r="M27" s="323">
        <f t="shared" si="9"/>
        <v>158701</v>
      </c>
      <c r="N27" s="323">
        <f t="shared" si="9"/>
        <v>309623</v>
      </c>
      <c r="O27" s="323">
        <f>SUM(O28:O35)</f>
        <v>361107</v>
      </c>
      <c r="P27" s="323">
        <f>SUM(P28:P35)</f>
        <v>231831</v>
      </c>
      <c r="Q27" s="323">
        <f>SUM(Q28:Q35)</f>
        <v>378970</v>
      </c>
      <c r="R27" s="324"/>
      <c r="S27" s="323">
        <f t="shared" ref="S27:AB27" si="10">SUM(S28:S35)</f>
        <v>741174.19263196317</v>
      </c>
      <c r="T27" s="323">
        <f>SUM(T28:T35)</f>
        <v>1035143</v>
      </c>
      <c r="U27" s="323">
        <f t="shared" si="10"/>
        <v>969568</v>
      </c>
      <c r="V27" s="323">
        <f t="shared" si="10"/>
        <v>705053.35825512104</v>
      </c>
      <c r="W27" s="323">
        <f t="shared" si="10"/>
        <v>1179851</v>
      </c>
      <c r="X27" s="323">
        <f t="shared" si="10"/>
        <v>405961</v>
      </c>
      <c r="Y27" s="323">
        <f t="shared" si="10"/>
        <v>315909</v>
      </c>
      <c r="Z27" s="323">
        <f t="shared" si="10"/>
        <v>350909</v>
      </c>
      <c r="AA27" s="323">
        <f t="shared" si="10"/>
        <v>308221</v>
      </c>
      <c r="AB27" s="323">
        <f t="shared" si="10"/>
        <v>343791</v>
      </c>
      <c r="AC27" s="323">
        <v>343353</v>
      </c>
    </row>
    <row r="28" spans="2:29" s="6" customFormat="1" ht="12">
      <c r="B28" s="466"/>
      <c r="D28" s="36" t="s">
        <v>35</v>
      </c>
      <c r="E28" s="170">
        <v>45000</v>
      </c>
      <c r="F28" s="170">
        <v>45000</v>
      </c>
      <c r="G28" s="170">
        <v>45000</v>
      </c>
      <c r="H28" s="170">
        <v>47000</v>
      </c>
      <c r="I28" s="170">
        <v>47000</v>
      </c>
      <c r="J28" s="170"/>
      <c r="K28" s="170">
        <v>57317</v>
      </c>
      <c r="L28" s="170">
        <v>57317</v>
      </c>
      <c r="M28" s="170">
        <v>57317</v>
      </c>
      <c r="N28" s="170">
        <v>57317</v>
      </c>
      <c r="O28" s="171">
        <v>57317</v>
      </c>
      <c r="P28" s="170">
        <v>57317</v>
      </c>
      <c r="Q28" s="170">
        <v>57317</v>
      </c>
      <c r="R28" s="322"/>
      <c r="S28" s="170">
        <v>45000</v>
      </c>
      <c r="T28" s="170">
        <v>47000</v>
      </c>
      <c r="U28" s="170">
        <v>47000</v>
      </c>
      <c r="V28" s="170">
        <v>47000</v>
      </c>
      <c r="W28" s="170">
        <v>57317</v>
      </c>
      <c r="X28" s="171">
        <v>57317</v>
      </c>
      <c r="Y28" s="170">
        <v>57317</v>
      </c>
      <c r="Z28" s="170">
        <v>57317</v>
      </c>
      <c r="AA28" s="170">
        <v>57317</v>
      </c>
      <c r="AB28" s="170">
        <v>57317</v>
      </c>
      <c r="AC28" s="170">
        <v>57317</v>
      </c>
    </row>
    <row r="29" spans="2:29" s="6" customFormat="1" ht="12">
      <c r="B29" s="466"/>
      <c r="D29" s="36" t="s">
        <v>36</v>
      </c>
      <c r="E29" s="170">
        <v>359920</v>
      </c>
      <c r="F29" s="170">
        <v>359920</v>
      </c>
      <c r="G29" s="170">
        <v>359920</v>
      </c>
      <c r="H29" s="170">
        <v>454513</v>
      </c>
      <c r="I29" s="170">
        <v>454513</v>
      </c>
      <c r="J29" s="170"/>
      <c r="K29" s="170">
        <v>923511</v>
      </c>
      <c r="L29" s="170">
        <v>923511</v>
      </c>
      <c r="M29" s="170">
        <v>923511</v>
      </c>
      <c r="N29" s="170">
        <v>923511</v>
      </c>
      <c r="O29" s="171">
        <v>923511</v>
      </c>
      <c r="P29" s="170">
        <v>923511</v>
      </c>
      <c r="Q29" s="170">
        <v>923511</v>
      </c>
      <c r="R29" s="322"/>
      <c r="S29" s="170">
        <v>359920</v>
      </c>
      <c r="T29" s="170">
        <v>454513</v>
      </c>
      <c r="U29" s="170">
        <v>454513</v>
      </c>
      <c r="V29" s="170">
        <v>454513</v>
      </c>
      <c r="W29" s="170">
        <v>923511</v>
      </c>
      <c r="X29" s="171">
        <v>923511</v>
      </c>
      <c r="Y29" s="170">
        <v>923511</v>
      </c>
      <c r="Z29" s="170">
        <v>923511</v>
      </c>
      <c r="AA29" s="170">
        <v>923511</v>
      </c>
      <c r="AB29" s="170">
        <v>923511</v>
      </c>
      <c r="AC29" s="170">
        <v>923511</v>
      </c>
    </row>
    <row r="30" spans="2:29" s="6" customFormat="1" ht="12">
      <c r="B30" s="466"/>
      <c r="D30" s="36" t="s">
        <v>37</v>
      </c>
      <c r="E30" s="170">
        <v>101300</v>
      </c>
      <c r="F30" s="170">
        <v>101300</v>
      </c>
      <c r="G30" s="170">
        <v>101300</v>
      </c>
      <c r="H30" s="170">
        <v>101300</v>
      </c>
      <c r="I30" s="170">
        <v>101300</v>
      </c>
      <c r="J30" s="170"/>
      <c r="K30" s="170">
        <v>101300</v>
      </c>
      <c r="L30" s="170">
        <v>101300</v>
      </c>
      <c r="M30" s="170">
        <v>101300</v>
      </c>
      <c r="N30" s="170">
        <v>101300</v>
      </c>
      <c r="O30" s="171">
        <v>101300</v>
      </c>
      <c r="P30" s="170">
        <v>101300</v>
      </c>
      <c r="Q30" s="170">
        <v>101300</v>
      </c>
      <c r="R30" s="322"/>
      <c r="S30" s="170">
        <v>101300</v>
      </c>
      <c r="T30" s="170">
        <v>101300</v>
      </c>
      <c r="U30" s="170">
        <v>101300</v>
      </c>
      <c r="V30" s="170">
        <v>101300</v>
      </c>
      <c r="W30" s="170">
        <v>101300</v>
      </c>
      <c r="X30" s="171">
        <v>101300</v>
      </c>
      <c r="Y30" s="170">
        <v>101300</v>
      </c>
      <c r="Z30" s="170">
        <v>101300</v>
      </c>
      <c r="AA30" s="170">
        <v>101300</v>
      </c>
      <c r="AB30" s="170">
        <v>101300</v>
      </c>
      <c r="AC30" s="170">
        <v>101300</v>
      </c>
    </row>
    <row r="31" spans="2:29" s="6" customFormat="1" ht="12">
      <c r="B31" s="466"/>
      <c r="D31" s="36" t="s">
        <v>38</v>
      </c>
      <c r="E31" s="170">
        <v>-81901</v>
      </c>
      <c r="F31" s="170">
        <v>-108071</v>
      </c>
      <c r="G31" s="170">
        <v>-123370</v>
      </c>
      <c r="H31" s="170">
        <v>-163247</v>
      </c>
      <c r="I31" s="170">
        <v>-118123</v>
      </c>
      <c r="J31" s="170"/>
      <c r="K31" s="170">
        <v>-155802</v>
      </c>
      <c r="L31" s="170">
        <v>-686761</v>
      </c>
      <c r="M31" s="170">
        <v>-834935</v>
      </c>
      <c r="N31" s="170">
        <v>-806407</v>
      </c>
      <c r="O31" s="171">
        <v>-759376</v>
      </c>
      <c r="P31" s="170">
        <v>-829373</v>
      </c>
      <c r="Q31" s="170">
        <v>-748814</v>
      </c>
      <c r="R31" s="322"/>
      <c r="S31" s="170">
        <v>-144144.84755770897</v>
      </c>
      <c r="T31" s="170">
        <v>-52852</v>
      </c>
      <c r="U31" s="170">
        <v>-179322</v>
      </c>
      <c r="V31" s="170">
        <v>-166086</v>
      </c>
      <c r="W31" s="170">
        <v>-236180</v>
      </c>
      <c r="X31" s="171">
        <v>-685321</v>
      </c>
      <c r="Y31" s="170">
        <v>-822187</v>
      </c>
      <c r="Z31" s="170">
        <v>-782272</v>
      </c>
      <c r="AA31" s="170">
        <v>-808511</v>
      </c>
      <c r="AB31" s="170">
        <v>-752941</v>
      </c>
      <c r="AC31" s="170">
        <v>-807310</v>
      </c>
    </row>
    <row r="32" spans="2:29" s="6" customFormat="1" ht="12">
      <c r="B32" s="466"/>
      <c r="D32" s="36" t="s">
        <v>657</v>
      </c>
      <c r="E32" s="170">
        <v>0</v>
      </c>
      <c r="F32" s="170">
        <v>0</v>
      </c>
      <c r="G32" s="170">
        <v>0</v>
      </c>
      <c r="H32" s="170">
        <v>0</v>
      </c>
      <c r="I32" s="170">
        <v>0</v>
      </c>
      <c r="J32" s="170"/>
      <c r="K32" s="170" t="s">
        <v>664</v>
      </c>
      <c r="L32" s="170">
        <v>-84479</v>
      </c>
      <c r="M32" s="170">
        <v>-118782</v>
      </c>
      <c r="N32" s="170">
        <v>-57426</v>
      </c>
      <c r="O32" s="171">
        <v>0</v>
      </c>
      <c r="P32" s="170">
        <v>0</v>
      </c>
      <c r="Q32" s="170">
        <v>0</v>
      </c>
      <c r="R32" s="322"/>
      <c r="S32" s="170">
        <v>0</v>
      </c>
      <c r="T32" s="170">
        <v>0</v>
      </c>
      <c r="U32" s="170">
        <v>0</v>
      </c>
      <c r="V32" s="170">
        <v>0</v>
      </c>
      <c r="W32" s="170">
        <v>-6248</v>
      </c>
      <c r="X32" s="171">
        <v>-81018</v>
      </c>
      <c r="Y32" s="170">
        <v>-87609</v>
      </c>
      <c r="Z32" s="170">
        <v>-28223</v>
      </c>
      <c r="AA32" s="170">
        <v>0</v>
      </c>
      <c r="AB32" s="170">
        <v>0</v>
      </c>
      <c r="AC32" s="170">
        <v>0</v>
      </c>
    </row>
    <row r="33" spans="2:29" s="6" customFormat="1" ht="12">
      <c r="B33" s="466"/>
      <c r="D33" s="36" t="s">
        <v>39</v>
      </c>
      <c r="E33" s="170">
        <v>0</v>
      </c>
      <c r="F33" s="170">
        <v>0</v>
      </c>
      <c r="G33" s="170">
        <v>0</v>
      </c>
      <c r="H33" s="170">
        <v>0</v>
      </c>
      <c r="I33" s="170">
        <v>-210376</v>
      </c>
      <c r="J33" s="170"/>
      <c r="K33" s="170">
        <v>-210376</v>
      </c>
      <c r="L33" s="170">
        <v>-209122</v>
      </c>
      <c r="M33" s="170">
        <v>-209122</v>
      </c>
      <c r="N33" s="170">
        <v>-209122</v>
      </c>
      <c r="O33" s="171">
        <v>-209122</v>
      </c>
      <c r="P33" s="170">
        <v>-209122</v>
      </c>
      <c r="Q33" s="170">
        <v>-209122</v>
      </c>
      <c r="R33" s="322"/>
      <c r="S33" s="170">
        <v>0</v>
      </c>
      <c r="T33" s="170">
        <v>0</v>
      </c>
      <c r="U33" s="170">
        <v>0</v>
      </c>
      <c r="V33" s="170">
        <v>-210375.64174487899</v>
      </c>
      <c r="W33" s="170">
        <v>-210376</v>
      </c>
      <c r="X33" s="171">
        <v>-209122</v>
      </c>
      <c r="Y33" s="170">
        <v>-209122</v>
      </c>
      <c r="Z33" s="170">
        <v>-209122</v>
      </c>
      <c r="AA33" s="170">
        <v>-209122</v>
      </c>
      <c r="AB33" s="170">
        <v>-209122</v>
      </c>
      <c r="AC33" s="170">
        <v>-209122</v>
      </c>
    </row>
    <row r="34" spans="2:29" s="6" customFormat="1" ht="12">
      <c r="B34" s="466"/>
      <c r="D34" s="36" t="s">
        <v>723</v>
      </c>
      <c r="E34" s="170">
        <v>38123</v>
      </c>
      <c r="F34" s="345" t="s">
        <v>694</v>
      </c>
      <c r="G34" s="345" t="s">
        <v>694</v>
      </c>
      <c r="H34" s="345" t="s">
        <v>694</v>
      </c>
      <c r="I34" s="345" t="s">
        <v>694</v>
      </c>
      <c r="J34" s="345"/>
      <c r="K34" s="345" t="s">
        <v>694</v>
      </c>
      <c r="L34" s="345" t="s">
        <v>694</v>
      </c>
      <c r="M34" s="345" t="s">
        <v>694</v>
      </c>
      <c r="N34" s="345" t="s">
        <v>694</v>
      </c>
      <c r="O34" s="345" t="s">
        <v>694</v>
      </c>
      <c r="P34" s="345" t="s">
        <v>694</v>
      </c>
      <c r="Q34" s="345" t="s">
        <v>694</v>
      </c>
      <c r="R34" s="433"/>
      <c r="S34" s="345" t="s">
        <v>694</v>
      </c>
      <c r="T34" s="345" t="s">
        <v>694</v>
      </c>
      <c r="U34" s="345" t="s">
        <v>694</v>
      </c>
      <c r="V34" s="345" t="s">
        <v>694</v>
      </c>
      <c r="W34" s="345" t="s">
        <v>694</v>
      </c>
      <c r="X34" s="345" t="s">
        <v>694</v>
      </c>
      <c r="Y34" s="345" t="s">
        <v>694</v>
      </c>
      <c r="Z34" s="345" t="s">
        <v>694</v>
      </c>
      <c r="AA34" s="345" t="s">
        <v>694</v>
      </c>
      <c r="AB34" s="345" t="s">
        <v>694</v>
      </c>
      <c r="AC34" s="345" t="s">
        <v>694</v>
      </c>
    </row>
    <row r="35" spans="2:29" s="6" customFormat="1" ht="12">
      <c r="B35" s="466"/>
      <c r="D35" s="36" t="s">
        <v>40</v>
      </c>
      <c r="E35" s="170">
        <v>284601</v>
      </c>
      <c r="F35" s="170">
        <v>366625</v>
      </c>
      <c r="G35" s="170">
        <v>433615</v>
      </c>
      <c r="H35" s="170">
        <v>514538</v>
      </c>
      <c r="I35" s="170">
        <v>542460</v>
      </c>
      <c r="J35" s="170"/>
      <c r="K35" s="170">
        <v>492080</v>
      </c>
      <c r="L35" s="170">
        <v>264550</v>
      </c>
      <c r="M35" s="170">
        <v>239412</v>
      </c>
      <c r="N35" s="170">
        <v>300450</v>
      </c>
      <c r="O35" s="171">
        <v>247477</v>
      </c>
      <c r="P35" s="170">
        <v>188198</v>
      </c>
      <c r="Q35" s="170">
        <v>254778</v>
      </c>
      <c r="R35" s="322"/>
      <c r="S35" s="170">
        <v>379099.04018967209</v>
      </c>
      <c r="T35" s="170">
        <v>485182</v>
      </c>
      <c r="U35" s="170">
        <v>546077</v>
      </c>
      <c r="V35" s="170">
        <v>478702</v>
      </c>
      <c r="W35" s="170">
        <v>550527</v>
      </c>
      <c r="X35" s="171">
        <v>299294</v>
      </c>
      <c r="Y35" s="170">
        <v>352699</v>
      </c>
      <c r="Z35" s="170">
        <v>288398</v>
      </c>
      <c r="AA35" s="170">
        <v>243726</v>
      </c>
      <c r="AB35" s="170">
        <v>223726</v>
      </c>
      <c r="AC35" s="170">
        <v>277657</v>
      </c>
    </row>
    <row r="36" spans="2:29" s="6" customFormat="1" ht="12">
      <c r="B36" s="466"/>
      <c r="D36" s="120" t="s">
        <v>15</v>
      </c>
      <c r="E36" s="350">
        <v>17642</v>
      </c>
      <c r="F36" s="350">
        <v>20071</v>
      </c>
      <c r="G36" s="350">
        <v>20884</v>
      </c>
      <c r="H36" s="350">
        <v>21117</v>
      </c>
      <c r="I36" s="350">
        <v>2512</v>
      </c>
      <c r="J36" s="350"/>
      <c r="K36" s="350">
        <v>-15353</v>
      </c>
      <c r="L36" s="350">
        <v>25411</v>
      </c>
      <c r="M36" s="350">
        <v>13231</v>
      </c>
      <c r="N36" s="350">
        <v>15293</v>
      </c>
      <c r="O36" s="350">
        <v>16131</v>
      </c>
      <c r="P36" s="350">
        <v>14235</v>
      </c>
      <c r="Q36" s="350">
        <v>17114</v>
      </c>
      <c r="R36" s="322"/>
      <c r="S36" s="350">
        <v>21184.934967503352</v>
      </c>
      <c r="T36" s="350">
        <v>23274</v>
      </c>
      <c r="U36" s="350">
        <v>19274</v>
      </c>
      <c r="V36" s="350">
        <v>2307</v>
      </c>
      <c r="W36" s="350">
        <v>38350</v>
      </c>
      <c r="X36" s="350">
        <v>16466</v>
      </c>
      <c r="Y36" s="350">
        <v>15145</v>
      </c>
      <c r="Z36" s="350">
        <v>15870</v>
      </c>
      <c r="AA36" s="350">
        <v>15259</v>
      </c>
      <c r="AB36" s="350">
        <v>16388</v>
      </c>
      <c r="AC36" s="350">
        <v>16111</v>
      </c>
    </row>
    <row r="37" spans="2:29" s="6" customFormat="1" ht="12">
      <c r="B37" s="466"/>
      <c r="D37" s="143" t="s">
        <v>41</v>
      </c>
      <c r="E37" s="352">
        <f t="shared" ref="E37:AC37" si="11">E38+E46</f>
        <v>536559</v>
      </c>
      <c r="F37" s="352">
        <f t="shared" si="11"/>
        <v>402340</v>
      </c>
      <c r="G37" s="352">
        <f t="shared" si="11"/>
        <v>360676</v>
      </c>
      <c r="H37" s="352">
        <f t="shared" si="11"/>
        <v>362753</v>
      </c>
      <c r="I37" s="352">
        <f t="shared" si="11"/>
        <v>442062</v>
      </c>
      <c r="J37" s="352">
        <f t="shared" si="11"/>
        <v>0</v>
      </c>
      <c r="K37" s="352">
        <f t="shared" si="11"/>
        <v>2084133</v>
      </c>
      <c r="L37" s="352">
        <f t="shared" si="11"/>
        <v>1521835</v>
      </c>
      <c r="M37" s="352">
        <f t="shared" si="11"/>
        <v>1347846</v>
      </c>
      <c r="N37" s="352">
        <f t="shared" si="11"/>
        <v>1318091</v>
      </c>
      <c r="O37" s="352">
        <f t="shared" si="11"/>
        <v>1278321</v>
      </c>
      <c r="P37" s="352">
        <f t="shared" si="11"/>
        <v>1042272</v>
      </c>
      <c r="Q37" s="352">
        <f t="shared" si="11"/>
        <v>1058195</v>
      </c>
      <c r="R37" s="324"/>
      <c r="S37" s="352">
        <f t="shared" si="11"/>
        <v>367871.89739292185</v>
      </c>
      <c r="T37" s="352">
        <f t="shared" si="11"/>
        <v>405654</v>
      </c>
      <c r="U37" s="352">
        <f t="shared" si="11"/>
        <v>403364</v>
      </c>
      <c r="V37" s="352">
        <f t="shared" si="11"/>
        <v>542799</v>
      </c>
      <c r="W37" s="352">
        <f t="shared" si="11"/>
        <v>1860356</v>
      </c>
      <c r="X37" s="352">
        <f t="shared" si="11"/>
        <v>1459196</v>
      </c>
      <c r="Y37" s="352">
        <f t="shared" si="11"/>
        <v>1353386</v>
      </c>
      <c r="Z37" s="352">
        <f t="shared" si="11"/>
        <v>1296736</v>
      </c>
      <c r="AA37" s="352">
        <f t="shared" si="11"/>
        <v>1199034</v>
      </c>
      <c r="AB37" s="352">
        <f t="shared" si="11"/>
        <v>1090332</v>
      </c>
      <c r="AC37" s="352">
        <f t="shared" si="11"/>
        <v>976444</v>
      </c>
    </row>
    <row r="38" spans="2:29" s="6" customFormat="1" ht="12">
      <c r="B38" s="466"/>
      <c r="D38" s="120" t="s">
        <v>42</v>
      </c>
      <c r="E38" s="323">
        <f>SUM(E39:E44)</f>
        <v>414054</v>
      </c>
      <c r="F38" s="323">
        <f t="shared" ref="F38:Q38" si="12">SUM(F39:F44)</f>
        <v>307453</v>
      </c>
      <c r="G38" s="323">
        <f t="shared" si="12"/>
        <v>272685</v>
      </c>
      <c r="H38" s="323">
        <f t="shared" si="12"/>
        <v>267486</v>
      </c>
      <c r="I38" s="323">
        <f t="shared" si="12"/>
        <v>356686</v>
      </c>
      <c r="J38" s="323"/>
      <c r="K38" s="323">
        <f t="shared" si="12"/>
        <v>1679272</v>
      </c>
      <c r="L38" s="323">
        <f t="shared" si="12"/>
        <v>1376266</v>
      </c>
      <c r="M38" s="323">
        <f t="shared" si="12"/>
        <v>1217605</v>
      </c>
      <c r="N38" s="323">
        <f t="shared" si="12"/>
        <v>1211794</v>
      </c>
      <c r="O38" s="323">
        <f t="shared" si="12"/>
        <v>1178872</v>
      </c>
      <c r="P38" s="323">
        <f t="shared" si="12"/>
        <v>981202</v>
      </c>
      <c r="Q38" s="323">
        <f t="shared" si="12"/>
        <v>924271</v>
      </c>
      <c r="R38" s="324"/>
      <c r="S38" s="323">
        <f t="shared" ref="S38:X38" si="13">SUM(S39:S44)</f>
        <v>277931.89739292185</v>
      </c>
      <c r="T38" s="323">
        <f t="shared" si="13"/>
        <v>304231</v>
      </c>
      <c r="U38" s="323">
        <f t="shared" si="13"/>
        <v>301272</v>
      </c>
      <c r="V38" s="323">
        <f t="shared" si="13"/>
        <v>384244</v>
      </c>
      <c r="W38" s="323">
        <f t="shared" si="13"/>
        <v>1685359</v>
      </c>
      <c r="X38" s="323">
        <f t="shared" si="13"/>
        <v>1317745</v>
      </c>
      <c r="Y38" s="323">
        <f t="shared" ref="Y38:AC38" si="14">SUM(Y39:Y43)</f>
        <v>1230079</v>
      </c>
      <c r="Z38" s="323">
        <f t="shared" si="14"/>
        <v>1193069</v>
      </c>
      <c r="AA38" s="323">
        <f t="shared" si="14"/>
        <v>1093402</v>
      </c>
      <c r="AB38" s="323">
        <f t="shared" si="14"/>
        <v>1038374</v>
      </c>
      <c r="AC38" s="323">
        <f t="shared" si="14"/>
        <v>717664</v>
      </c>
    </row>
    <row r="39" spans="2:29" s="6" customFormat="1" ht="12">
      <c r="B39" s="466"/>
      <c r="D39" s="36" t="s">
        <v>43</v>
      </c>
      <c r="E39" s="170">
        <v>307129</v>
      </c>
      <c r="F39" s="170">
        <v>201980</v>
      </c>
      <c r="G39" s="170">
        <v>170568</v>
      </c>
      <c r="H39" s="170">
        <v>154555</v>
      </c>
      <c r="I39" s="170">
        <v>263295</v>
      </c>
      <c r="J39" s="170"/>
      <c r="K39" s="170">
        <v>1230925</v>
      </c>
      <c r="L39" s="170">
        <v>1073668</v>
      </c>
      <c r="M39" s="170">
        <v>1062371</v>
      </c>
      <c r="N39" s="170">
        <v>1040875</v>
      </c>
      <c r="O39" s="171">
        <v>1005664</v>
      </c>
      <c r="P39" s="170">
        <v>850766</v>
      </c>
      <c r="Q39" s="170">
        <v>738113</v>
      </c>
      <c r="R39" s="322"/>
      <c r="S39" s="170">
        <v>177205</v>
      </c>
      <c r="T39" s="170">
        <v>176830</v>
      </c>
      <c r="U39" s="170">
        <v>182397</v>
      </c>
      <c r="V39" s="170">
        <v>303009</v>
      </c>
      <c r="W39" s="170">
        <v>1244021</v>
      </c>
      <c r="X39" s="171">
        <v>1014800</v>
      </c>
      <c r="Y39" s="170">
        <v>1058657</v>
      </c>
      <c r="Z39" s="170">
        <v>1019590</v>
      </c>
      <c r="AA39" s="170">
        <v>941343</v>
      </c>
      <c r="AB39" s="170">
        <v>863419</v>
      </c>
      <c r="AC39" s="170">
        <v>561967</v>
      </c>
    </row>
    <row r="40" spans="2:29" s="6" customFormat="1" ht="12">
      <c r="B40" s="466"/>
      <c r="D40" s="36" t="s">
        <v>721</v>
      </c>
      <c r="E40" s="399" t="s">
        <v>694</v>
      </c>
      <c r="F40" s="399" t="s">
        <v>694</v>
      </c>
      <c r="G40" s="399" t="s">
        <v>694</v>
      </c>
      <c r="H40" s="399" t="s">
        <v>694</v>
      </c>
      <c r="I40" s="399" t="s">
        <v>694</v>
      </c>
      <c r="J40" s="399"/>
      <c r="K40" s="399" t="s">
        <v>694</v>
      </c>
      <c r="L40" s="345" t="s">
        <v>694</v>
      </c>
      <c r="M40" s="345" t="s">
        <v>694</v>
      </c>
      <c r="N40" s="345" t="s">
        <v>694</v>
      </c>
      <c r="O40" s="345" t="s">
        <v>694</v>
      </c>
      <c r="P40" s="345" t="s">
        <v>694</v>
      </c>
      <c r="Q40" s="170">
        <v>32987</v>
      </c>
      <c r="R40" s="322"/>
      <c r="S40" s="345" t="s">
        <v>694</v>
      </c>
      <c r="T40" s="345" t="s">
        <v>694</v>
      </c>
      <c r="U40" s="345" t="s">
        <v>694</v>
      </c>
      <c r="V40" s="345" t="s">
        <v>694</v>
      </c>
      <c r="W40" s="345" t="s">
        <v>694</v>
      </c>
      <c r="X40" s="345" t="s">
        <v>694</v>
      </c>
      <c r="Y40" s="345" t="s">
        <v>694</v>
      </c>
      <c r="Z40" s="345" t="s">
        <v>694</v>
      </c>
      <c r="AA40" s="345" t="s">
        <v>694</v>
      </c>
      <c r="AB40" s="170">
        <v>31566</v>
      </c>
      <c r="AC40" s="170">
        <v>29489</v>
      </c>
    </row>
    <row r="41" spans="2:29" s="6" customFormat="1" ht="12">
      <c r="B41" s="466"/>
      <c r="D41" s="36" t="s">
        <v>25</v>
      </c>
      <c r="E41" s="170">
        <v>0</v>
      </c>
      <c r="F41" s="170">
        <v>0</v>
      </c>
      <c r="G41" s="170">
        <v>0</v>
      </c>
      <c r="H41" s="170">
        <v>0</v>
      </c>
      <c r="I41" s="170">
        <v>1999</v>
      </c>
      <c r="J41" s="170"/>
      <c r="K41" s="170">
        <v>26069</v>
      </c>
      <c r="L41" s="170">
        <v>102840</v>
      </c>
      <c r="M41" s="170">
        <v>5360</v>
      </c>
      <c r="N41" s="170">
        <v>0</v>
      </c>
      <c r="O41" s="171">
        <v>0</v>
      </c>
      <c r="P41" s="170">
        <v>0</v>
      </c>
      <c r="Q41" s="170">
        <v>8839</v>
      </c>
      <c r="R41" s="322"/>
      <c r="S41" s="170">
        <v>0</v>
      </c>
      <c r="T41" s="170">
        <v>0</v>
      </c>
      <c r="U41" s="170">
        <v>0</v>
      </c>
      <c r="V41" s="170">
        <v>0</v>
      </c>
      <c r="W41" s="170">
        <v>31618</v>
      </c>
      <c r="X41" s="171">
        <v>103507</v>
      </c>
      <c r="Y41" s="170">
        <v>2450</v>
      </c>
      <c r="Z41" s="170">
        <v>0</v>
      </c>
      <c r="AA41" s="170">
        <v>0</v>
      </c>
      <c r="AB41" s="170">
        <v>307</v>
      </c>
      <c r="AC41" s="170">
        <v>0</v>
      </c>
    </row>
    <row r="42" spans="2:29" s="6" customFormat="1" ht="12">
      <c r="B42" s="466"/>
      <c r="D42" s="36" t="s">
        <v>44</v>
      </c>
      <c r="E42" s="170" t="s">
        <v>656</v>
      </c>
      <c r="F42" s="170">
        <v>1019</v>
      </c>
      <c r="G42" s="170">
        <v>1288</v>
      </c>
      <c r="H42" s="170">
        <v>2112</v>
      </c>
      <c r="I42" s="170">
        <v>91392</v>
      </c>
      <c r="J42" s="170"/>
      <c r="K42" s="170">
        <v>0</v>
      </c>
      <c r="L42" s="170">
        <v>0</v>
      </c>
      <c r="M42" s="170">
        <v>0</v>
      </c>
      <c r="N42" s="170">
        <v>8208</v>
      </c>
      <c r="O42" s="171">
        <v>9266</v>
      </c>
      <c r="P42" s="170">
        <v>0</v>
      </c>
      <c r="Q42" s="170">
        <v>0</v>
      </c>
      <c r="R42" s="322"/>
      <c r="S42" s="170">
        <v>1484</v>
      </c>
      <c r="T42" s="170">
        <v>767</v>
      </c>
      <c r="U42" s="170">
        <v>1981</v>
      </c>
      <c r="V42" s="170">
        <v>1904</v>
      </c>
      <c r="W42" s="170">
        <v>0</v>
      </c>
      <c r="X42" s="171">
        <v>0</v>
      </c>
      <c r="Y42" s="170">
        <v>0</v>
      </c>
      <c r="Z42" s="170">
        <v>9044</v>
      </c>
      <c r="AA42" s="170">
        <v>2516</v>
      </c>
      <c r="AB42" s="170">
        <v>0</v>
      </c>
      <c r="AC42" s="170">
        <v>0</v>
      </c>
    </row>
    <row r="43" spans="2:29" s="6" customFormat="1" ht="12">
      <c r="B43" s="466"/>
      <c r="D43" s="36" t="s">
        <v>45</v>
      </c>
      <c r="E43" s="170">
        <v>106925</v>
      </c>
      <c r="F43" s="170">
        <v>102737</v>
      </c>
      <c r="G43" s="170">
        <v>100829</v>
      </c>
      <c r="H43" s="170">
        <v>110819</v>
      </c>
      <c r="I43" s="170">
        <v>0</v>
      </c>
      <c r="J43" s="170"/>
      <c r="K43" s="170">
        <v>422278</v>
      </c>
      <c r="L43" s="170">
        <v>199758</v>
      </c>
      <c r="M43" s="170">
        <v>149874</v>
      </c>
      <c r="N43" s="170">
        <v>162711</v>
      </c>
      <c r="O43" s="171">
        <v>163942</v>
      </c>
      <c r="P43" s="170">
        <v>130436</v>
      </c>
      <c r="Q43" s="170">
        <v>144332</v>
      </c>
      <c r="R43" s="322"/>
      <c r="S43" s="170">
        <v>98011.897392921819</v>
      </c>
      <c r="T43" s="170">
        <v>126634</v>
      </c>
      <c r="U43" s="170">
        <v>116894</v>
      </c>
      <c r="V43" s="170">
        <v>79331</v>
      </c>
      <c r="W43" s="170">
        <v>409720</v>
      </c>
      <c r="X43" s="171">
        <v>199438</v>
      </c>
      <c r="Y43" s="170">
        <v>168972</v>
      </c>
      <c r="Z43" s="170">
        <v>164435</v>
      </c>
      <c r="AA43" s="170">
        <v>149543</v>
      </c>
      <c r="AB43" s="170">
        <v>143082</v>
      </c>
      <c r="AC43" s="170">
        <v>126208</v>
      </c>
    </row>
    <row r="44" spans="2:29" s="6" customFormat="1" ht="12">
      <c r="B44" s="466"/>
      <c r="D44" s="36" t="s">
        <v>665</v>
      </c>
      <c r="E44" s="170">
        <v>0</v>
      </c>
      <c r="F44" s="170">
        <v>1717</v>
      </c>
      <c r="G44" s="170">
        <v>0</v>
      </c>
      <c r="H44" s="170">
        <v>0</v>
      </c>
      <c r="I44" s="170">
        <v>0</v>
      </c>
      <c r="J44" s="170"/>
      <c r="K44" s="170">
        <v>0</v>
      </c>
      <c r="L44" s="170">
        <v>0</v>
      </c>
      <c r="M44" s="170">
        <v>0</v>
      </c>
      <c r="N44" s="170">
        <v>0</v>
      </c>
      <c r="O44" s="170">
        <v>0</v>
      </c>
      <c r="P44" s="170">
        <v>0</v>
      </c>
      <c r="Q44" s="170">
        <v>0</v>
      </c>
      <c r="R44" s="322"/>
      <c r="S44" s="170">
        <v>1231</v>
      </c>
      <c r="T44" s="170" t="s">
        <v>656</v>
      </c>
      <c r="U44" s="170">
        <v>0</v>
      </c>
      <c r="V44" s="170">
        <v>0</v>
      </c>
      <c r="W44" s="170">
        <v>0</v>
      </c>
      <c r="X44" s="170">
        <v>0</v>
      </c>
      <c r="Y44" s="170">
        <v>0</v>
      </c>
      <c r="Z44" s="170">
        <v>0</v>
      </c>
      <c r="AA44" s="170">
        <v>0</v>
      </c>
      <c r="AB44" s="170">
        <v>0</v>
      </c>
      <c r="AC44" s="170">
        <v>0</v>
      </c>
    </row>
    <row r="45" spans="2:29" s="6" customFormat="1" ht="12">
      <c r="B45" s="466"/>
      <c r="D45" s="9" t="s">
        <v>696</v>
      </c>
      <c r="E45" s="322">
        <v>0</v>
      </c>
      <c r="F45" s="322">
        <v>0</v>
      </c>
      <c r="G45" s="322">
        <v>0</v>
      </c>
      <c r="H45" s="322">
        <v>0</v>
      </c>
      <c r="I45" s="322">
        <v>0</v>
      </c>
      <c r="J45" s="322"/>
      <c r="K45" s="322">
        <v>0</v>
      </c>
      <c r="L45" s="322">
        <v>0</v>
      </c>
      <c r="M45" s="322">
        <v>0</v>
      </c>
      <c r="N45" s="322">
        <v>0</v>
      </c>
      <c r="O45" s="322">
        <v>0</v>
      </c>
      <c r="P45" s="322">
        <v>0</v>
      </c>
      <c r="Q45" s="322">
        <v>0</v>
      </c>
      <c r="R45" s="322"/>
      <c r="S45" s="170">
        <v>0</v>
      </c>
      <c r="T45" s="170">
        <v>0</v>
      </c>
      <c r="U45" s="170">
        <v>0</v>
      </c>
      <c r="V45" s="170">
        <v>0</v>
      </c>
      <c r="W45" s="170">
        <v>0</v>
      </c>
      <c r="X45" s="170">
        <v>0</v>
      </c>
      <c r="Y45" s="170">
        <v>0</v>
      </c>
      <c r="Z45" s="170">
        <v>0</v>
      </c>
      <c r="AA45" s="170">
        <v>0</v>
      </c>
      <c r="AB45" s="170">
        <v>0</v>
      </c>
      <c r="AC45" s="170">
        <v>0</v>
      </c>
    </row>
    <row r="46" spans="2:29" s="6" customFormat="1" ht="12">
      <c r="B46" s="466"/>
      <c r="D46" s="120" t="s">
        <v>46</v>
      </c>
      <c r="E46" s="323">
        <f t="shared" ref="E46:F46" si="15">SUM(E47:E53)</f>
        <v>122505</v>
      </c>
      <c r="F46" s="323">
        <f t="shared" si="15"/>
        <v>94887</v>
      </c>
      <c r="G46" s="323">
        <f>SUM(G47:G53)</f>
        <v>87991</v>
      </c>
      <c r="H46" s="323">
        <f t="shared" ref="H46:O46" si="16">SUM(H47:H52)</f>
        <v>95267</v>
      </c>
      <c r="I46" s="323">
        <f t="shared" si="16"/>
        <v>85376</v>
      </c>
      <c r="J46" s="323"/>
      <c r="K46" s="323">
        <f t="shared" si="16"/>
        <v>404861</v>
      </c>
      <c r="L46" s="323">
        <f t="shared" si="16"/>
        <v>145569</v>
      </c>
      <c r="M46" s="323">
        <f t="shared" si="16"/>
        <v>130241</v>
      </c>
      <c r="N46" s="323">
        <f t="shared" si="16"/>
        <v>106297</v>
      </c>
      <c r="O46" s="323">
        <f t="shared" si="16"/>
        <v>99449</v>
      </c>
      <c r="P46" s="323">
        <f>SUM(P47:P52)</f>
        <v>61070</v>
      </c>
      <c r="Q46" s="323">
        <f>SUM(Q47:Q52)</f>
        <v>133924</v>
      </c>
      <c r="R46" s="324"/>
      <c r="S46" s="323">
        <f t="shared" ref="S46:AB46" si="17">SUM(S47:S52)</f>
        <v>89940</v>
      </c>
      <c r="T46" s="323">
        <f t="shared" si="17"/>
        <v>101423</v>
      </c>
      <c r="U46" s="323">
        <f t="shared" si="17"/>
        <v>102092</v>
      </c>
      <c r="V46" s="323">
        <f t="shared" si="17"/>
        <v>158555</v>
      </c>
      <c r="W46" s="323">
        <f t="shared" si="17"/>
        <v>174997</v>
      </c>
      <c r="X46" s="323">
        <f t="shared" si="17"/>
        <v>141451</v>
      </c>
      <c r="Y46" s="323">
        <f t="shared" si="17"/>
        <v>123307</v>
      </c>
      <c r="Z46" s="323">
        <f t="shared" si="17"/>
        <v>103667</v>
      </c>
      <c r="AA46" s="323">
        <f t="shared" si="17"/>
        <v>105632</v>
      </c>
      <c r="AB46" s="323">
        <f t="shared" si="17"/>
        <v>51958</v>
      </c>
      <c r="AC46" s="323">
        <v>258780</v>
      </c>
    </row>
    <row r="47" spans="2:29" s="6" customFormat="1" ht="12">
      <c r="B47" s="466"/>
      <c r="D47" s="36" t="s">
        <v>43</v>
      </c>
      <c r="E47" s="170">
        <v>66775</v>
      </c>
      <c r="F47" s="170">
        <v>50203</v>
      </c>
      <c r="G47" s="170">
        <v>36091</v>
      </c>
      <c r="H47" s="170">
        <v>52383</v>
      </c>
      <c r="I47" s="170">
        <v>69814</v>
      </c>
      <c r="J47" s="170"/>
      <c r="K47" s="170">
        <v>206388</v>
      </c>
      <c r="L47" s="170">
        <v>109975</v>
      </c>
      <c r="M47" s="170">
        <v>103029</v>
      </c>
      <c r="N47" s="170">
        <v>78681</v>
      </c>
      <c r="O47" s="171">
        <v>69089</v>
      </c>
      <c r="P47" s="170">
        <v>21183</v>
      </c>
      <c r="Q47" s="170">
        <v>99098</v>
      </c>
      <c r="R47" s="322"/>
      <c r="S47" s="170">
        <v>42655</v>
      </c>
      <c r="T47" s="170">
        <v>45139</v>
      </c>
      <c r="U47" s="170">
        <v>56244</v>
      </c>
      <c r="V47" s="170">
        <v>99390</v>
      </c>
      <c r="W47" s="170">
        <v>124151</v>
      </c>
      <c r="X47" s="171">
        <v>114718</v>
      </c>
      <c r="Y47" s="170">
        <v>92955</v>
      </c>
      <c r="Z47" s="170">
        <v>74623</v>
      </c>
      <c r="AA47" s="170">
        <v>66322</v>
      </c>
      <c r="AB47" s="170">
        <v>21557</v>
      </c>
      <c r="AC47" s="170">
        <v>232628</v>
      </c>
    </row>
    <row r="48" spans="2:29" s="6" customFormat="1" ht="12">
      <c r="B48" s="466"/>
      <c r="D48" s="36" t="s">
        <v>25</v>
      </c>
      <c r="E48" s="170">
        <v>0</v>
      </c>
      <c r="F48" s="170">
        <v>0</v>
      </c>
      <c r="G48" s="170">
        <v>0</v>
      </c>
      <c r="H48" s="170">
        <v>0</v>
      </c>
      <c r="I48" s="170">
        <v>0</v>
      </c>
      <c r="J48" s="170">
        <v>0</v>
      </c>
      <c r="K48" s="170">
        <v>0</v>
      </c>
      <c r="L48" s="170">
        <v>0</v>
      </c>
      <c r="M48" s="170">
        <v>0</v>
      </c>
      <c r="N48" s="170">
        <v>0</v>
      </c>
      <c r="O48" s="170">
        <v>0</v>
      </c>
      <c r="P48" s="170">
        <v>0</v>
      </c>
      <c r="Q48" s="6">
        <v>345</v>
      </c>
      <c r="R48" s="322"/>
      <c r="S48" s="170">
        <v>0</v>
      </c>
      <c r="T48" s="170">
        <v>0</v>
      </c>
      <c r="U48" s="170">
        <v>0</v>
      </c>
      <c r="V48" s="170">
        <v>0</v>
      </c>
      <c r="W48" s="170">
        <v>0</v>
      </c>
      <c r="X48" s="170">
        <v>0</v>
      </c>
      <c r="Y48" s="170">
        <v>0</v>
      </c>
      <c r="Z48" s="170">
        <v>0</v>
      </c>
      <c r="AA48" s="170">
        <v>0</v>
      </c>
      <c r="AB48" s="170">
        <v>232</v>
      </c>
      <c r="AC48" s="170">
        <v>0</v>
      </c>
    </row>
    <row r="49" spans="2:41" s="6" customFormat="1" ht="12">
      <c r="B49" s="466"/>
      <c r="D49" s="36" t="s">
        <v>721</v>
      </c>
      <c r="E49" s="399" t="s">
        <v>694</v>
      </c>
      <c r="F49" s="399" t="s">
        <v>694</v>
      </c>
      <c r="G49" s="399" t="s">
        <v>694</v>
      </c>
      <c r="H49" s="399" t="s">
        <v>694</v>
      </c>
      <c r="I49" s="399" t="s">
        <v>694</v>
      </c>
      <c r="J49" s="399"/>
      <c r="K49" s="399" t="s">
        <v>694</v>
      </c>
      <c r="L49" s="345" t="s">
        <v>694</v>
      </c>
      <c r="M49" s="345" t="s">
        <v>694</v>
      </c>
      <c r="N49" s="345" t="s">
        <v>694</v>
      </c>
      <c r="O49" s="345" t="s">
        <v>694</v>
      </c>
      <c r="P49" s="345" t="s">
        <v>694</v>
      </c>
      <c r="Q49" s="170">
        <v>1194</v>
      </c>
      <c r="R49" s="322"/>
      <c r="S49" s="345" t="s">
        <v>694</v>
      </c>
      <c r="T49" s="345" t="s">
        <v>694</v>
      </c>
      <c r="U49" s="345" t="s">
        <v>694</v>
      </c>
      <c r="V49" s="345" t="s">
        <v>694</v>
      </c>
      <c r="W49" s="345" t="s">
        <v>694</v>
      </c>
      <c r="X49" s="345" t="s">
        <v>694</v>
      </c>
      <c r="Y49" s="345" t="s">
        <v>694</v>
      </c>
      <c r="Z49" s="345" t="s">
        <v>694</v>
      </c>
      <c r="AA49" s="345" t="s">
        <v>694</v>
      </c>
      <c r="AB49" s="170">
        <v>847</v>
      </c>
      <c r="AC49" s="170">
        <v>1409</v>
      </c>
    </row>
    <row r="50" spans="2:41" s="6" customFormat="1" ht="12">
      <c r="B50" s="466"/>
      <c r="D50" s="36" t="s">
        <v>44</v>
      </c>
      <c r="E50" s="170">
        <v>48546</v>
      </c>
      <c r="F50" s="170">
        <v>42791</v>
      </c>
      <c r="G50" s="170">
        <v>49318</v>
      </c>
      <c r="H50" s="170">
        <v>41117</v>
      </c>
      <c r="I50" s="170">
        <v>15562</v>
      </c>
      <c r="J50" s="170"/>
      <c r="K50" s="170">
        <v>197011</v>
      </c>
      <c r="L50" s="170">
        <v>24675</v>
      </c>
      <c r="M50" s="170">
        <v>26897</v>
      </c>
      <c r="N50" s="170">
        <v>26320</v>
      </c>
      <c r="O50" s="171">
        <v>26420</v>
      </c>
      <c r="P50" s="170">
        <v>38776</v>
      </c>
      <c r="Q50" s="170">
        <v>33278</v>
      </c>
      <c r="R50" s="322"/>
      <c r="S50" s="170">
        <v>45294</v>
      </c>
      <c r="T50" s="170">
        <v>53659</v>
      </c>
      <c r="U50" s="170">
        <v>43741</v>
      </c>
      <c r="V50" s="170">
        <v>52145</v>
      </c>
      <c r="W50" s="170">
        <v>45660</v>
      </c>
      <c r="X50" s="171">
        <v>25752</v>
      </c>
      <c r="Y50" s="170">
        <v>30280</v>
      </c>
      <c r="Z50" s="170">
        <v>23612</v>
      </c>
      <c r="AA50" s="170">
        <v>31615</v>
      </c>
      <c r="AB50" s="170">
        <v>29301</v>
      </c>
      <c r="AC50" s="170">
        <v>24304</v>
      </c>
    </row>
    <row r="51" spans="2:41" s="6" customFormat="1" ht="12">
      <c r="B51" s="466"/>
      <c r="D51" s="36" t="s">
        <v>47</v>
      </c>
      <c r="E51" s="170">
        <v>2833</v>
      </c>
      <c r="F51" s="170">
        <v>1115</v>
      </c>
      <c r="G51" s="170">
        <v>1322</v>
      </c>
      <c r="H51" s="170">
        <v>1767</v>
      </c>
      <c r="I51" s="170">
        <v>0</v>
      </c>
      <c r="J51" s="170"/>
      <c r="K51" s="170">
        <v>1462</v>
      </c>
      <c r="L51" s="170">
        <v>10919</v>
      </c>
      <c r="M51" s="170">
        <v>315</v>
      </c>
      <c r="N51" s="170">
        <v>1296</v>
      </c>
      <c r="O51" s="171">
        <v>1513</v>
      </c>
      <c r="P51" s="170">
        <v>1111</v>
      </c>
      <c r="Q51" s="170">
        <v>9</v>
      </c>
      <c r="R51" s="322"/>
      <c r="S51" s="170">
        <v>395</v>
      </c>
      <c r="T51" s="170">
        <v>1983</v>
      </c>
      <c r="U51" s="170">
        <v>2107</v>
      </c>
      <c r="V51" s="170">
        <v>7020</v>
      </c>
      <c r="W51" s="170">
        <v>5186</v>
      </c>
      <c r="X51" s="171">
        <v>981</v>
      </c>
      <c r="Y51" s="170">
        <v>72</v>
      </c>
      <c r="Z51" s="170">
        <v>5432</v>
      </c>
      <c r="AA51" s="170">
        <v>4922</v>
      </c>
      <c r="AB51" s="170">
        <v>21</v>
      </c>
      <c r="AC51" s="170">
        <v>439</v>
      </c>
    </row>
    <row r="52" spans="2:41" s="6" customFormat="1" ht="12">
      <c r="B52" s="466"/>
      <c r="D52" s="36" t="s">
        <v>48</v>
      </c>
      <c r="E52" s="170">
        <v>0</v>
      </c>
      <c r="F52" s="170">
        <v>0</v>
      </c>
      <c r="G52" s="170">
        <v>0</v>
      </c>
      <c r="H52" s="170">
        <v>0</v>
      </c>
      <c r="I52" s="170">
        <v>0</v>
      </c>
      <c r="J52" s="170"/>
      <c r="K52" s="170">
        <v>0</v>
      </c>
      <c r="L52" s="170">
        <v>0</v>
      </c>
      <c r="M52" s="170">
        <v>0</v>
      </c>
      <c r="N52" s="170">
        <v>0</v>
      </c>
      <c r="O52" s="171">
        <v>2427</v>
      </c>
      <c r="P52" s="170">
        <v>0</v>
      </c>
      <c r="Q52" s="170">
        <v>0</v>
      </c>
      <c r="R52" s="322"/>
      <c r="S52" s="170">
        <v>1596</v>
      </c>
      <c r="T52" s="170">
        <v>642</v>
      </c>
      <c r="U52" s="170">
        <v>0</v>
      </c>
      <c r="V52" s="170">
        <v>0</v>
      </c>
      <c r="W52" s="170">
        <v>0</v>
      </c>
      <c r="X52" s="171">
        <v>0</v>
      </c>
      <c r="Y52" s="170">
        <v>0</v>
      </c>
      <c r="Z52" s="170">
        <v>0</v>
      </c>
      <c r="AA52" s="170">
        <v>2773</v>
      </c>
      <c r="AB52" s="170">
        <v>0</v>
      </c>
      <c r="AC52" s="170">
        <v>0</v>
      </c>
    </row>
    <row r="53" spans="2:41" s="6" customFormat="1" ht="12">
      <c r="B53" s="466"/>
      <c r="D53" s="9" t="s">
        <v>665</v>
      </c>
      <c r="E53" s="170">
        <v>4351</v>
      </c>
      <c r="F53" s="170">
        <v>778</v>
      </c>
      <c r="G53" s="170">
        <v>1260</v>
      </c>
      <c r="H53" s="322">
        <v>0</v>
      </c>
      <c r="I53" s="322">
        <v>0</v>
      </c>
      <c r="J53" s="322"/>
      <c r="K53" s="322">
        <v>0</v>
      </c>
      <c r="L53" s="322">
        <v>0</v>
      </c>
      <c r="M53" s="322">
        <v>0</v>
      </c>
      <c r="N53" s="322">
        <v>0</v>
      </c>
      <c r="O53" s="322">
        <v>0</v>
      </c>
      <c r="P53" s="170">
        <v>0</v>
      </c>
      <c r="Q53" s="170">
        <v>0</v>
      </c>
      <c r="R53" s="322"/>
      <c r="S53" s="170">
        <v>0</v>
      </c>
      <c r="T53" s="170" t="s">
        <v>656</v>
      </c>
      <c r="U53" s="170">
        <v>0</v>
      </c>
      <c r="V53" s="170">
        <v>0</v>
      </c>
      <c r="W53" s="322">
        <v>0</v>
      </c>
      <c r="X53" s="322">
        <v>0</v>
      </c>
      <c r="Y53" s="170">
        <v>0</v>
      </c>
      <c r="Z53" s="170">
        <v>0</v>
      </c>
      <c r="AA53" s="170">
        <v>0</v>
      </c>
      <c r="AB53" s="170">
        <v>0</v>
      </c>
      <c r="AC53" s="170">
        <v>0</v>
      </c>
    </row>
    <row r="54" spans="2:41" s="6" customFormat="1" ht="12">
      <c r="B54" s="466"/>
      <c r="D54" s="120" t="s">
        <v>49</v>
      </c>
      <c r="E54" s="323">
        <f t="shared" ref="E54:Q54" si="18">E46+E38+E26</f>
        <v>1301244</v>
      </c>
      <c r="F54" s="323">
        <f t="shared" si="18"/>
        <v>1187185</v>
      </c>
      <c r="G54" s="323">
        <f t="shared" si="18"/>
        <v>1198025</v>
      </c>
      <c r="H54" s="323">
        <f t="shared" si="18"/>
        <v>1337974</v>
      </c>
      <c r="I54" s="323">
        <f t="shared" si="18"/>
        <v>1261348</v>
      </c>
      <c r="J54" s="323"/>
      <c r="K54" s="323">
        <f t="shared" si="18"/>
        <v>3276810</v>
      </c>
      <c r="L54" s="323">
        <f t="shared" si="18"/>
        <v>1913562</v>
      </c>
      <c r="M54" s="323">
        <f t="shared" si="18"/>
        <v>1519778</v>
      </c>
      <c r="N54" s="323">
        <f>N46+N38+N26</f>
        <v>1643007</v>
      </c>
      <c r="O54" s="323">
        <f t="shared" si="18"/>
        <v>1655559</v>
      </c>
      <c r="P54" s="323">
        <f t="shared" si="18"/>
        <v>1288338</v>
      </c>
      <c r="Q54" s="323">
        <f t="shared" si="18"/>
        <v>1454279</v>
      </c>
      <c r="R54" s="324"/>
      <c r="S54" s="323">
        <f t="shared" ref="S54:AB54" si="19">S46+S38+S26</f>
        <v>1130231.0249923882</v>
      </c>
      <c r="T54" s="323">
        <f>T46+T38+T26</f>
        <v>1464071</v>
      </c>
      <c r="U54" s="323">
        <f t="shared" si="19"/>
        <v>1392206</v>
      </c>
      <c r="V54" s="323">
        <f t="shared" si="19"/>
        <v>1250159.3582551209</v>
      </c>
      <c r="W54" s="323">
        <f t="shared" si="19"/>
        <v>3078557</v>
      </c>
      <c r="X54" s="323">
        <f t="shared" si="19"/>
        <v>1881623</v>
      </c>
      <c r="Y54" s="323">
        <f t="shared" si="19"/>
        <v>1684440</v>
      </c>
      <c r="Z54" s="323">
        <f t="shared" si="19"/>
        <v>1663515</v>
      </c>
      <c r="AA54" s="323">
        <f t="shared" si="19"/>
        <v>1522514</v>
      </c>
      <c r="AB54" s="323">
        <f t="shared" si="19"/>
        <v>1450511</v>
      </c>
      <c r="AC54" s="323">
        <v>1335908</v>
      </c>
    </row>
    <row r="55" spans="2:41" s="168" customFormat="1">
      <c r="E55" s="351"/>
      <c r="F55" s="351"/>
      <c r="G55" s="351"/>
      <c r="H55" s="351"/>
      <c r="I55" s="351"/>
      <c r="J55" s="351"/>
      <c r="K55" s="351"/>
      <c r="L55" s="351"/>
      <c r="M55" s="351"/>
      <c r="N55" s="351"/>
      <c r="O55" s="351"/>
      <c r="P55" s="351"/>
      <c r="Q55" s="351"/>
      <c r="R55" s="434"/>
      <c r="S55" s="351"/>
      <c r="T55" s="351"/>
      <c r="U55" s="351"/>
      <c r="V55" s="351"/>
      <c r="W55" s="351"/>
      <c r="X55" s="351"/>
      <c r="Y55" s="351"/>
      <c r="Z55" s="351"/>
      <c r="AA55" s="351"/>
      <c r="AB55" s="351"/>
      <c r="AC55" s="351"/>
    </row>
    <row r="56" spans="2:41" s="6" customFormat="1" ht="12">
      <c r="D56" s="6" t="s">
        <v>108</v>
      </c>
      <c r="E56" s="173"/>
      <c r="F56" s="173"/>
      <c r="G56" s="173"/>
      <c r="H56" s="173"/>
      <c r="I56" s="173"/>
      <c r="J56" s="173"/>
      <c r="K56" s="173"/>
      <c r="L56" s="173"/>
      <c r="M56" s="173"/>
      <c r="N56" s="173"/>
      <c r="O56" s="173"/>
      <c r="P56" s="173"/>
      <c r="Q56" s="173"/>
      <c r="R56" s="164"/>
      <c r="S56" s="174"/>
      <c r="T56" s="174"/>
      <c r="U56" s="173"/>
      <c r="V56" s="173"/>
      <c r="W56" s="173"/>
      <c r="X56" s="173"/>
      <c r="Y56" s="173"/>
      <c r="Z56" s="173"/>
      <c r="AA56" s="173"/>
      <c r="AB56" s="173"/>
      <c r="AC56" s="173"/>
    </row>
    <row r="57" spans="2:41" s="6" customFormat="1" ht="12">
      <c r="D57" s="8" t="s">
        <v>109</v>
      </c>
      <c r="E57" s="173"/>
      <c r="F57" s="173"/>
      <c r="G57" s="173"/>
      <c r="H57" s="173"/>
      <c r="I57" s="173"/>
      <c r="J57" s="173"/>
      <c r="K57" s="173"/>
      <c r="L57" s="173"/>
      <c r="M57" s="173"/>
      <c r="N57" s="173"/>
      <c r="O57" s="173"/>
      <c r="P57" s="173"/>
      <c r="Q57" s="173"/>
      <c r="R57" s="164"/>
      <c r="S57" s="174"/>
      <c r="T57" s="174"/>
      <c r="U57" s="173"/>
      <c r="V57" s="173"/>
      <c r="W57" s="173"/>
      <c r="X57" s="173"/>
      <c r="Y57" s="173"/>
      <c r="Z57" s="173"/>
      <c r="AA57" s="173"/>
      <c r="AB57" s="173"/>
      <c r="AC57" s="173"/>
    </row>
    <row r="59" spans="2:41">
      <c r="D59" s="396" t="s">
        <v>734</v>
      </c>
    </row>
    <row r="60" spans="2:41" ht="15" customHeight="1">
      <c r="D60" s="450" t="s">
        <v>749</v>
      </c>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row>
    <row r="61" spans="2:41" ht="49.5" customHeight="1">
      <c r="D61" s="450" t="s">
        <v>751</v>
      </c>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row>
  </sheetData>
  <mergeCells count="2">
    <mergeCell ref="B26:B54"/>
    <mergeCell ref="B7:B24"/>
  </mergeCells>
  <phoneticPr fontId="348" type="noConversion"/>
  <dataValidations count="1">
    <dataValidation allowBlank="1" showErrorMessage="1" sqref="D19:D25 D15:D17 D7:D10" xr:uid="{00000000-0002-0000-0200-000000000000}">
      <formula1>0</formula1>
      <formula2>0</formula2>
    </dataValidation>
  </dataValidations>
  <hyperlinks>
    <hyperlink ref="D57"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7F83"/>
  </sheetPr>
  <dimension ref="A3:BY91"/>
  <sheetViews>
    <sheetView zoomScale="80" zoomScaleNormal="80" workbookViewId="0">
      <pane xSplit="4" ySplit="5" topLeftCell="E6" activePane="bottomRight" state="frozen"/>
      <selection activeCell="H25" sqref="H25:I25"/>
      <selection pane="topRight" activeCell="H25" sqref="H25:I25"/>
      <selection pane="bottomLeft" activeCell="H25" sqref="H25:I25"/>
      <selection pane="bottomRight" activeCell="AA92" sqref="AA92"/>
    </sheetView>
  </sheetViews>
  <sheetFormatPr defaultColWidth="9.140625" defaultRowHeight="14.25"/>
  <cols>
    <col min="1" max="1" width="2.28515625" style="297" customWidth="1"/>
    <col min="2" max="2" width="3.28515625" style="297" customWidth="1"/>
    <col min="3" max="3" width="1.5703125" style="297" customWidth="1"/>
    <col min="4" max="4" width="58.85546875" style="297" customWidth="1"/>
    <col min="5" max="5" width="9.28515625" style="298" bestFit="1" customWidth="1"/>
    <col min="6" max="6" width="12.7109375" style="298" customWidth="1"/>
    <col min="7" max="7" width="9.28515625" style="298" bestFit="1" customWidth="1"/>
    <col min="8" max="8" width="13.42578125" style="298" customWidth="1"/>
    <col min="9" max="9" width="9.28515625" style="298" bestFit="1" customWidth="1"/>
    <col min="10" max="10" width="1.85546875" style="298" customWidth="1"/>
    <col min="11" max="16" width="9.28515625" style="298" bestFit="1" customWidth="1"/>
    <col min="17" max="17" width="9.28515625" style="298" customWidth="1"/>
    <col min="18" max="18" width="3.5703125" style="298" customWidth="1"/>
    <col min="19" max="23" width="9.28515625" style="298" bestFit="1" customWidth="1"/>
    <col min="24" max="24" width="9.140625" style="298"/>
    <col min="25" max="25" width="2.5703125" style="298" customWidth="1"/>
    <col min="26" max="38" width="9.140625" style="298"/>
    <col min="39" max="16384" width="9.140625" style="299"/>
  </cols>
  <sheetData>
    <row r="3" spans="1:40">
      <c r="D3" s="7" t="s">
        <v>18</v>
      </c>
    </row>
    <row r="4" spans="1:40" s="123" customFormat="1" ht="15" customHeight="1">
      <c r="A4" s="14"/>
      <c r="B4" s="14"/>
      <c r="C4" s="14"/>
      <c r="D4" s="14"/>
      <c r="E4" s="172"/>
      <c r="F4" s="172"/>
      <c r="G4" s="298"/>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7"/>
    </row>
    <row r="5" spans="1:40" s="23" customFormat="1" ht="12">
      <c r="A5" s="69"/>
      <c r="B5" s="69"/>
      <c r="C5" s="69"/>
      <c r="D5" s="16"/>
      <c r="E5" s="278">
        <v>39813</v>
      </c>
      <c r="F5" s="278">
        <v>40178</v>
      </c>
      <c r="G5" s="278">
        <v>40543</v>
      </c>
      <c r="H5" s="278">
        <v>40908</v>
      </c>
      <c r="I5" s="278">
        <v>41274</v>
      </c>
      <c r="J5" s="278"/>
      <c r="K5" s="278">
        <v>41639</v>
      </c>
      <c r="L5" s="278">
        <v>42004</v>
      </c>
      <c r="M5" s="278">
        <v>42369</v>
      </c>
      <c r="N5" s="278">
        <v>42735</v>
      </c>
      <c r="O5" s="278">
        <v>43100</v>
      </c>
      <c r="P5" s="278">
        <v>43465</v>
      </c>
      <c r="Q5" s="278">
        <v>43830</v>
      </c>
      <c r="R5" s="278"/>
      <c r="S5" s="278" t="s">
        <v>347</v>
      </c>
      <c r="T5" s="278" t="s">
        <v>348</v>
      </c>
      <c r="U5" s="278" t="s">
        <v>345</v>
      </c>
      <c r="V5" s="278" t="s">
        <v>346</v>
      </c>
      <c r="W5" s="278" t="s">
        <v>343</v>
      </c>
      <c r="X5" s="278" t="s">
        <v>344</v>
      </c>
      <c r="Y5" s="278"/>
      <c r="Z5" s="278" t="s">
        <v>95</v>
      </c>
      <c r="AA5" s="278" t="s">
        <v>96</v>
      </c>
      <c r="AB5" s="278" t="s">
        <v>97</v>
      </c>
      <c r="AC5" s="278" t="s">
        <v>98</v>
      </c>
      <c r="AD5" s="278" t="s">
        <v>99</v>
      </c>
      <c r="AE5" s="278" t="s">
        <v>100</v>
      </c>
      <c r="AF5" s="278" t="s">
        <v>101</v>
      </c>
      <c r="AG5" s="278" t="s">
        <v>102</v>
      </c>
      <c r="AH5" s="278" t="s">
        <v>103</v>
      </c>
      <c r="AI5" s="278" t="s">
        <v>105</v>
      </c>
      <c r="AJ5" s="278" t="s">
        <v>106</v>
      </c>
      <c r="AK5" s="278" t="s">
        <v>104</v>
      </c>
      <c r="AL5" s="278" t="s">
        <v>653</v>
      </c>
      <c r="AM5" s="278" t="s">
        <v>758</v>
      </c>
      <c r="AN5" s="278" t="s">
        <v>795</v>
      </c>
    </row>
    <row r="6" spans="1:40">
      <c r="E6" s="292" t="s">
        <v>739</v>
      </c>
      <c r="F6" s="292" t="s">
        <v>739</v>
      </c>
      <c r="G6" s="300"/>
      <c r="H6" s="300"/>
      <c r="I6" s="300"/>
      <c r="J6" s="300"/>
      <c r="K6" s="400" t="s">
        <v>750</v>
      </c>
      <c r="L6" s="300"/>
      <c r="M6" s="300"/>
      <c r="N6" s="300"/>
      <c r="O6" s="300"/>
      <c r="P6" s="300"/>
      <c r="Q6" s="300"/>
      <c r="R6" s="300"/>
      <c r="S6" s="300"/>
      <c r="T6" s="300"/>
      <c r="U6" s="300"/>
      <c r="V6" s="300"/>
      <c r="W6" s="300"/>
      <c r="X6" s="300"/>
      <c r="Y6" s="300"/>
      <c r="Z6" s="370" t="s">
        <v>750</v>
      </c>
      <c r="AA6" s="370" t="s">
        <v>750</v>
      </c>
      <c r="AB6" s="300"/>
      <c r="AC6" s="300"/>
      <c r="AD6" s="300"/>
      <c r="AE6" s="300"/>
      <c r="AF6" s="300"/>
      <c r="AG6" s="300"/>
      <c r="AH6" s="300"/>
      <c r="AI6" s="300"/>
      <c r="AJ6" s="300"/>
      <c r="AK6" s="300"/>
      <c r="AL6" s="300"/>
    </row>
    <row r="7" spans="1:40" s="9" customFormat="1" ht="12" customHeight="1">
      <c r="A7" s="6"/>
      <c r="B7" s="467" t="s">
        <v>558</v>
      </c>
      <c r="C7" s="6"/>
      <c r="D7" s="36" t="s">
        <v>50</v>
      </c>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v>0</v>
      </c>
      <c r="AE7" s="171"/>
      <c r="AF7" s="171"/>
      <c r="AG7" s="171"/>
      <c r="AH7" s="171"/>
      <c r="AI7" s="171"/>
      <c r="AJ7" s="171"/>
      <c r="AK7" s="171"/>
      <c r="AL7" s="171"/>
      <c r="AM7" s="171"/>
      <c r="AN7" s="171"/>
    </row>
    <row r="8" spans="1:40" s="9" customFormat="1" ht="12">
      <c r="A8" s="6"/>
      <c r="B8" s="467"/>
      <c r="C8" s="6"/>
      <c r="D8" s="36" t="s">
        <v>10</v>
      </c>
      <c r="E8" s="171">
        <v>197228</v>
      </c>
      <c r="F8" s="171">
        <v>77137</v>
      </c>
      <c r="G8" s="171">
        <v>142156</v>
      </c>
      <c r="H8" s="171">
        <v>195906</v>
      </c>
      <c r="I8" s="171">
        <v>153598</v>
      </c>
      <c r="J8" s="171"/>
      <c r="K8" s="171">
        <v>149480</v>
      </c>
      <c r="L8" s="171">
        <v>-229125</v>
      </c>
      <c r="M8" s="171">
        <v>-30314</v>
      </c>
      <c r="N8" s="171">
        <v>109856</v>
      </c>
      <c r="O8" s="171">
        <v>-24131</v>
      </c>
      <c r="P8" s="171">
        <v>-53637</v>
      </c>
      <c r="Q8" s="171">
        <v>96635</v>
      </c>
      <c r="R8" s="171"/>
      <c r="S8" s="345" t="s">
        <v>694</v>
      </c>
      <c r="T8" s="345" t="s">
        <v>694</v>
      </c>
      <c r="U8" s="345" t="s">
        <v>694</v>
      </c>
      <c r="V8" s="345" t="s">
        <v>694</v>
      </c>
      <c r="W8" s="345" t="s">
        <v>694</v>
      </c>
      <c r="X8" s="345" t="s">
        <v>694</v>
      </c>
      <c r="Y8" s="345"/>
      <c r="Z8" s="345" t="s">
        <v>694</v>
      </c>
      <c r="AA8" s="345" t="s">
        <v>694</v>
      </c>
      <c r="AB8" s="345" t="s">
        <v>694</v>
      </c>
      <c r="AC8" s="345" t="s">
        <v>694</v>
      </c>
      <c r="AD8" s="345" t="s">
        <v>694</v>
      </c>
      <c r="AE8" s="345" t="s">
        <v>694</v>
      </c>
      <c r="AF8" s="345" t="s">
        <v>694</v>
      </c>
      <c r="AG8" s="345" t="s">
        <v>694</v>
      </c>
      <c r="AH8" s="345" t="s">
        <v>694</v>
      </c>
      <c r="AI8" s="345" t="s">
        <v>694</v>
      </c>
      <c r="AJ8" s="345" t="s">
        <v>694</v>
      </c>
      <c r="AK8" s="345" t="s">
        <v>694</v>
      </c>
      <c r="AL8" s="345" t="s">
        <v>694</v>
      </c>
      <c r="AM8" s="345" t="s">
        <v>694</v>
      </c>
      <c r="AN8" s="345" t="s">
        <v>694</v>
      </c>
    </row>
    <row r="9" spans="1:40" s="9" customFormat="1" ht="12">
      <c r="A9" s="6"/>
      <c r="B9" s="467"/>
      <c r="C9" s="6"/>
      <c r="D9" s="36" t="s">
        <v>51</v>
      </c>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v>0</v>
      </c>
      <c r="AE9" s="171"/>
      <c r="AF9" s="171"/>
      <c r="AG9" s="171"/>
      <c r="AH9" s="171"/>
      <c r="AI9" s="171"/>
      <c r="AJ9" s="171"/>
      <c r="AK9" s="171"/>
      <c r="AL9" s="171"/>
      <c r="AM9" s="171"/>
      <c r="AN9" s="171"/>
    </row>
    <row r="10" spans="1:40" s="9" customFormat="1" ht="12">
      <c r="A10" s="6"/>
      <c r="B10" s="467"/>
      <c r="C10" s="6"/>
      <c r="D10" s="36" t="s">
        <v>52</v>
      </c>
      <c r="E10" s="171">
        <v>43221</v>
      </c>
      <c r="F10" s="171">
        <v>36906</v>
      </c>
      <c r="G10" s="171">
        <v>45634</v>
      </c>
      <c r="H10" s="171">
        <v>50091</v>
      </c>
      <c r="I10" s="171">
        <v>63893</v>
      </c>
      <c r="J10" s="171"/>
      <c r="K10" s="171">
        <v>42440</v>
      </c>
      <c r="L10" s="171">
        <v>75902</v>
      </c>
      <c r="M10" s="171">
        <v>42794</v>
      </c>
      <c r="N10" s="171">
        <v>34843</v>
      </c>
      <c r="O10" s="171">
        <v>38007</v>
      </c>
      <c r="P10" s="171">
        <v>35764</v>
      </c>
      <c r="Q10" s="171">
        <v>36952</v>
      </c>
      <c r="R10" s="171"/>
      <c r="S10" s="345" t="s">
        <v>694</v>
      </c>
      <c r="T10" s="345" t="s">
        <v>694</v>
      </c>
      <c r="U10" s="345" t="s">
        <v>694</v>
      </c>
      <c r="V10" s="345" t="s">
        <v>694</v>
      </c>
      <c r="W10" s="345" t="s">
        <v>694</v>
      </c>
      <c r="X10" s="345" t="s">
        <v>694</v>
      </c>
      <c r="Y10" s="345"/>
      <c r="Z10" s="345" t="s">
        <v>694</v>
      </c>
      <c r="AA10" s="345" t="s">
        <v>694</v>
      </c>
      <c r="AB10" s="345" t="s">
        <v>694</v>
      </c>
      <c r="AC10" s="345" t="s">
        <v>694</v>
      </c>
      <c r="AD10" s="345" t="s">
        <v>694</v>
      </c>
      <c r="AE10" s="345" t="s">
        <v>694</v>
      </c>
      <c r="AF10" s="345" t="s">
        <v>694</v>
      </c>
      <c r="AG10" s="345" t="s">
        <v>694</v>
      </c>
      <c r="AH10" s="345" t="s">
        <v>694</v>
      </c>
      <c r="AI10" s="345" t="s">
        <v>694</v>
      </c>
      <c r="AJ10" s="345" t="s">
        <v>694</v>
      </c>
      <c r="AK10" s="345" t="s">
        <v>694</v>
      </c>
      <c r="AL10" s="345" t="s">
        <v>694</v>
      </c>
      <c r="AM10" s="345" t="s">
        <v>694</v>
      </c>
      <c r="AN10" s="345" t="s">
        <v>694</v>
      </c>
    </row>
    <row r="11" spans="1:40" s="9" customFormat="1" ht="12">
      <c r="A11" s="6"/>
      <c r="B11" s="467"/>
      <c r="C11" s="6"/>
      <c r="D11" s="36" t="s">
        <v>719</v>
      </c>
      <c r="E11" s="345" t="s">
        <v>694</v>
      </c>
      <c r="F11" s="345" t="s">
        <v>694</v>
      </c>
      <c r="G11" s="345" t="s">
        <v>694</v>
      </c>
      <c r="H11" s="345" t="s">
        <v>694</v>
      </c>
      <c r="I11" s="345" t="s">
        <v>694</v>
      </c>
      <c r="J11" s="345"/>
      <c r="K11" s="345" t="s">
        <v>694</v>
      </c>
      <c r="L11" s="345" t="s">
        <v>694</v>
      </c>
      <c r="M11" s="345" t="s">
        <v>694</v>
      </c>
      <c r="N11" s="345" t="s">
        <v>694</v>
      </c>
      <c r="O11" s="345" t="s">
        <v>694</v>
      </c>
      <c r="P11" s="345" t="s">
        <v>694</v>
      </c>
      <c r="Q11" s="171">
        <v>12391</v>
      </c>
      <c r="R11" s="171"/>
      <c r="S11" s="345"/>
      <c r="T11" s="345"/>
      <c r="U11" s="345"/>
      <c r="V11" s="345"/>
      <c r="W11" s="345"/>
      <c r="X11" s="345"/>
      <c r="Y11" s="345"/>
      <c r="Z11" s="345"/>
      <c r="AA11" s="345"/>
      <c r="AB11" s="345"/>
      <c r="AC11" s="345"/>
      <c r="AD11" s="345"/>
      <c r="AE11" s="345"/>
      <c r="AF11" s="345"/>
      <c r="AG11" s="345"/>
      <c r="AH11" s="345"/>
      <c r="AI11" s="345"/>
      <c r="AJ11" s="345"/>
      <c r="AK11" s="345"/>
      <c r="AL11" s="345"/>
      <c r="AM11" s="345"/>
      <c r="AN11" s="345"/>
    </row>
    <row r="12" spans="1:40" s="9" customFormat="1" ht="12">
      <c r="A12" s="6"/>
      <c r="B12" s="467"/>
      <c r="C12" s="6"/>
      <c r="D12" s="36" t="s">
        <v>56</v>
      </c>
      <c r="E12" s="171">
        <v>13332</v>
      </c>
      <c r="F12" s="171">
        <v>7643</v>
      </c>
      <c r="G12" s="171">
        <v>7626</v>
      </c>
      <c r="H12" s="171">
        <v>8172</v>
      </c>
      <c r="I12" s="171">
        <v>7343</v>
      </c>
      <c r="J12" s="171">
        <v>0</v>
      </c>
      <c r="K12" s="171">
        <v>5720</v>
      </c>
      <c r="L12" s="171">
        <v>24268</v>
      </c>
      <c r="M12" s="171">
        <v>14498</v>
      </c>
      <c r="N12" s="171">
        <v>13224.930142172545</v>
      </c>
      <c r="O12" s="171">
        <v>12966</v>
      </c>
      <c r="P12" s="171">
        <v>12909</v>
      </c>
      <c r="Q12" s="171">
        <v>1256</v>
      </c>
      <c r="R12" s="171"/>
      <c r="S12" s="345" t="s">
        <v>694</v>
      </c>
      <c r="T12" s="345" t="s">
        <v>694</v>
      </c>
      <c r="U12" s="345" t="s">
        <v>694</v>
      </c>
      <c r="V12" s="345" t="s">
        <v>694</v>
      </c>
      <c r="W12" s="345" t="s">
        <v>694</v>
      </c>
      <c r="X12" s="345" t="s">
        <v>694</v>
      </c>
      <c r="Y12" s="345"/>
      <c r="Z12" s="345" t="s">
        <v>694</v>
      </c>
      <c r="AA12" s="345" t="s">
        <v>694</v>
      </c>
      <c r="AB12" s="345" t="s">
        <v>694</v>
      </c>
      <c r="AC12" s="345" t="s">
        <v>694</v>
      </c>
      <c r="AD12" s="345" t="s">
        <v>694</v>
      </c>
      <c r="AE12" s="345" t="s">
        <v>694</v>
      </c>
      <c r="AF12" s="345" t="s">
        <v>694</v>
      </c>
      <c r="AG12" s="345" t="s">
        <v>694</v>
      </c>
      <c r="AH12" s="345" t="s">
        <v>694</v>
      </c>
      <c r="AI12" s="345" t="s">
        <v>694</v>
      </c>
      <c r="AJ12" s="345" t="s">
        <v>694</v>
      </c>
      <c r="AK12" s="345" t="s">
        <v>694</v>
      </c>
      <c r="AL12" s="345" t="s">
        <v>694</v>
      </c>
      <c r="AM12" s="345" t="s">
        <v>694</v>
      </c>
      <c r="AN12" s="345" t="s">
        <v>694</v>
      </c>
    </row>
    <row r="13" spans="1:40" s="9" customFormat="1" ht="12">
      <c r="A13" s="6"/>
      <c r="B13" s="467"/>
      <c r="C13" s="6"/>
      <c r="D13" s="36" t="s">
        <v>671</v>
      </c>
      <c r="E13" s="171">
        <v>-6449</v>
      </c>
      <c r="F13" s="171">
        <v>-1056</v>
      </c>
      <c r="G13" s="171">
        <v>-2335</v>
      </c>
      <c r="H13" s="171">
        <v>-2000</v>
      </c>
      <c r="I13" s="171">
        <v>0</v>
      </c>
      <c r="J13" s="171"/>
      <c r="K13" s="171">
        <v>0</v>
      </c>
      <c r="L13" s="171">
        <v>0</v>
      </c>
      <c r="M13" s="171">
        <v>0</v>
      </c>
      <c r="N13" s="171">
        <v>0</v>
      </c>
      <c r="O13" s="171">
        <v>0</v>
      </c>
      <c r="P13" s="171">
        <v>0</v>
      </c>
      <c r="Q13" s="171">
        <v>0</v>
      </c>
      <c r="R13" s="171"/>
      <c r="S13" s="345" t="s">
        <v>694</v>
      </c>
      <c r="T13" s="345" t="s">
        <v>694</v>
      </c>
      <c r="U13" s="345" t="s">
        <v>694</v>
      </c>
      <c r="V13" s="345" t="s">
        <v>694</v>
      </c>
      <c r="W13" s="345" t="s">
        <v>694</v>
      </c>
      <c r="X13" s="345" t="s">
        <v>694</v>
      </c>
      <c r="Y13" s="345"/>
      <c r="Z13" s="345" t="s">
        <v>694</v>
      </c>
      <c r="AA13" s="345" t="s">
        <v>694</v>
      </c>
      <c r="AB13" s="345" t="s">
        <v>694</v>
      </c>
      <c r="AC13" s="345" t="s">
        <v>694</v>
      </c>
      <c r="AD13" s="345" t="s">
        <v>694</v>
      </c>
      <c r="AE13" s="345" t="s">
        <v>694</v>
      </c>
      <c r="AF13" s="345" t="s">
        <v>694</v>
      </c>
      <c r="AG13" s="345" t="s">
        <v>694</v>
      </c>
      <c r="AH13" s="345" t="s">
        <v>694</v>
      </c>
      <c r="AI13" s="345" t="s">
        <v>694</v>
      </c>
      <c r="AJ13" s="345" t="s">
        <v>694</v>
      </c>
      <c r="AK13" s="345" t="s">
        <v>694</v>
      </c>
      <c r="AL13" s="345" t="s">
        <v>694</v>
      </c>
      <c r="AM13" s="345" t="s">
        <v>694</v>
      </c>
      <c r="AN13" s="345" t="s">
        <v>694</v>
      </c>
    </row>
    <row r="14" spans="1:40" s="9" customFormat="1" ht="12">
      <c r="A14" s="6"/>
      <c r="B14" s="467"/>
      <c r="C14" s="6"/>
      <c r="D14" s="36" t="s">
        <v>53</v>
      </c>
      <c r="E14" s="171">
        <v>14301</v>
      </c>
      <c r="F14" s="171">
        <v>0</v>
      </c>
      <c r="G14" s="171">
        <v>0</v>
      </c>
      <c r="H14" s="171">
        <v>0</v>
      </c>
      <c r="I14" s="171">
        <v>51541</v>
      </c>
      <c r="J14" s="171"/>
      <c r="K14" s="171">
        <v>0</v>
      </c>
      <c r="L14" s="171">
        <v>0</v>
      </c>
      <c r="M14" s="171">
        <v>46686</v>
      </c>
      <c r="N14" s="171">
        <v>0</v>
      </c>
      <c r="O14" s="171">
        <v>11400</v>
      </c>
      <c r="P14" s="171">
        <v>0</v>
      </c>
      <c r="Q14" s="171">
        <v>0</v>
      </c>
      <c r="R14" s="171"/>
      <c r="S14" s="345" t="s">
        <v>694</v>
      </c>
      <c r="T14" s="345" t="s">
        <v>694</v>
      </c>
      <c r="U14" s="345" t="s">
        <v>694</v>
      </c>
      <c r="V14" s="345" t="s">
        <v>694</v>
      </c>
      <c r="W14" s="345" t="s">
        <v>694</v>
      </c>
      <c r="X14" s="345" t="s">
        <v>694</v>
      </c>
      <c r="Y14" s="345"/>
      <c r="Z14" s="345" t="s">
        <v>694</v>
      </c>
      <c r="AA14" s="345" t="s">
        <v>694</v>
      </c>
      <c r="AB14" s="345" t="s">
        <v>694</v>
      </c>
      <c r="AC14" s="345" t="s">
        <v>694</v>
      </c>
      <c r="AD14" s="345" t="s">
        <v>694</v>
      </c>
      <c r="AE14" s="345" t="s">
        <v>694</v>
      </c>
      <c r="AF14" s="345" t="s">
        <v>694</v>
      </c>
      <c r="AG14" s="345" t="s">
        <v>694</v>
      </c>
      <c r="AH14" s="345" t="s">
        <v>694</v>
      </c>
      <c r="AI14" s="345" t="s">
        <v>694</v>
      </c>
      <c r="AJ14" s="345" t="s">
        <v>694</v>
      </c>
      <c r="AK14" s="345" t="s">
        <v>694</v>
      </c>
      <c r="AL14" s="345" t="s">
        <v>694</v>
      </c>
      <c r="AM14" s="345" t="s">
        <v>694</v>
      </c>
      <c r="AN14" s="345" t="s">
        <v>694</v>
      </c>
    </row>
    <row r="15" spans="1:40" s="9" customFormat="1" ht="12">
      <c r="A15" s="6"/>
      <c r="B15" s="467"/>
      <c r="C15" s="6"/>
      <c r="D15" s="36" t="s">
        <v>581</v>
      </c>
      <c r="E15" s="171">
        <v>0</v>
      </c>
      <c r="F15" s="171">
        <v>0</v>
      </c>
      <c r="G15" s="171">
        <v>0</v>
      </c>
      <c r="H15" s="322">
        <v>0</v>
      </c>
      <c r="I15" s="171">
        <v>0</v>
      </c>
      <c r="J15" s="171"/>
      <c r="K15" s="171">
        <v>0</v>
      </c>
      <c r="L15" s="171">
        <v>0</v>
      </c>
      <c r="M15" s="171">
        <v>0</v>
      </c>
      <c r="N15" s="171">
        <v>67531.998977935757</v>
      </c>
      <c r="O15" s="171">
        <v>0</v>
      </c>
      <c r="P15" s="171">
        <v>0</v>
      </c>
      <c r="Q15" s="171">
        <v>0</v>
      </c>
      <c r="R15" s="171"/>
      <c r="S15" s="345" t="s">
        <v>694</v>
      </c>
      <c r="T15" s="345" t="s">
        <v>694</v>
      </c>
      <c r="U15" s="345" t="s">
        <v>694</v>
      </c>
      <c r="V15" s="345" t="s">
        <v>694</v>
      </c>
      <c r="W15" s="345" t="s">
        <v>694</v>
      </c>
      <c r="X15" s="345" t="s">
        <v>694</v>
      </c>
      <c r="Y15" s="345"/>
      <c r="Z15" s="345" t="s">
        <v>694</v>
      </c>
      <c r="AA15" s="345" t="s">
        <v>694</v>
      </c>
      <c r="AB15" s="345" t="s">
        <v>694</v>
      </c>
      <c r="AC15" s="345" t="s">
        <v>694</v>
      </c>
      <c r="AD15" s="345" t="s">
        <v>694</v>
      </c>
      <c r="AE15" s="345" t="s">
        <v>694</v>
      </c>
      <c r="AF15" s="345" t="s">
        <v>694</v>
      </c>
      <c r="AG15" s="345" t="s">
        <v>694</v>
      </c>
      <c r="AH15" s="345" t="s">
        <v>694</v>
      </c>
      <c r="AI15" s="345" t="s">
        <v>694</v>
      </c>
      <c r="AJ15" s="345" t="s">
        <v>694</v>
      </c>
      <c r="AK15" s="345" t="s">
        <v>694</v>
      </c>
      <c r="AL15" s="345" t="s">
        <v>694</v>
      </c>
      <c r="AM15" s="345" t="s">
        <v>694</v>
      </c>
      <c r="AN15" s="345" t="s">
        <v>694</v>
      </c>
    </row>
    <row r="16" spans="1:40" s="9" customFormat="1" ht="12">
      <c r="A16" s="6"/>
      <c r="B16" s="467"/>
      <c r="C16" s="6"/>
      <c r="D16" s="36" t="s">
        <v>662</v>
      </c>
      <c r="E16" s="171">
        <v>17759</v>
      </c>
      <c r="F16" s="171">
        <v>0</v>
      </c>
      <c r="G16" s="171">
        <v>0</v>
      </c>
      <c r="H16" s="171">
        <v>0</v>
      </c>
      <c r="I16" s="171">
        <v>6484</v>
      </c>
      <c r="J16" s="171"/>
      <c r="K16" s="171">
        <v>0</v>
      </c>
      <c r="L16" s="171">
        <v>0</v>
      </c>
      <c r="M16" s="171">
        <v>0</v>
      </c>
      <c r="N16" s="171">
        <v>0</v>
      </c>
      <c r="O16" s="171">
        <v>0</v>
      </c>
      <c r="P16" s="171">
        <v>0</v>
      </c>
      <c r="Q16" s="171">
        <v>0</v>
      </c>
      <c r="R16" s="171"/>
      <c r="S16" s="345" t="s">
        <v>694</v>
      </c>
      <c r="T16" s="345" t="s">
        <v>694</v>
      </c>
      <c r="U16" s="345" t="s">
        <v>694</v>
      </c>
      <c r="V16" s="345" t="s">
        <v>694</v>
      </c>
      <c r="W16" s="345" t="s">
        <v>694</v>
      </c>
      <c r="X16" s="345" t="s">
        <v>694</v>
      </c>
      <c r="Y16" s="345"/>
      <c r="Z16" s="345" t="s">
        <v>694</v>
      </c>
      <c r="AA16" s="345" t="s">
        <v>694</v>
      </c>
      <c r="AB16" s="345" t="s">
        <v>694</v>
      </c>
      <c r="AC16" s="345" t="s">
        <v>694</v>
      </c>
      <c r="AD16" s="345" t="s">
        <v>694</v>
      </c>
      <c r="AE16" s="345" t="s">
        <v>694</v>
      </c>
      <c r="AF16" s="345" t="s">
        <v>694</v>
      </c>
      <c r="AG16" s="345" t="s">
        <v>694</v>
      </c>
      <c r="AH16" s="345" t="s">
        <v>694</v>
      </c>
      <c r="AI16" s="345" t="s">
        <v>694</v>
      </c>
      <c r="AJ16" s="345" t="s">
        <v>694</v>
      </c>
      <c r="AK16" s="345" t="s">
        <v>694</v>
      </c>
      <c r="AL16" s="345" t="s">
        <v>694</v>
      </c>
      <c r="AM16" s="345" t="s">
        <v>694</v>
      </c>
      <c r="AN16" s="345" t="s">
        <v>694</v>
      </c>
    </row>
    <row r="17" spans="1:40" s="9" customFormat="1" ht="12">
      <c r="A17" s="6"/>
      <c r="B17" s="467"/>
      <c r="C17" s="6"/>
      <c r="D17" s="36" t="s">
        <v>54</v>
      </c>
      <c r="E17" s="171">
        <v>25331</v>
      </c>
      <c r="F17" s="171">
        <v>0</v>
      </c>
      <c r="G17" s="171">
        <v>0</v>
      </c>
      <c r="H17" s="171">
        <v>0</v>
      </c>
      <c r="I17" s="171">
        <v>0</v>
      </c>
      <c r="J17" s="171"/>
      <c r="K17" s="171">
        <v>0</v>
      </c>
      <c r="L17" s="171">
        <v>0</v>
      </c>
      <c r="M17" s="171">
        <v>0</v>
      </c>
      <c r="N17" s="171">
        <v>0</v>
      </c>
      <c r="O17" s="171">
        <v>0</v>
      </c>
      <c r="P17" s="171">
        <v>24689</v>
      </c>
      <c r="Q17" s="171">
        <v>33535</v>
      </c>
      <c r="R17" s="171"/>
      <c r="S17" s="345" t="s">
        <v>694</v>
      </c>
      <c r="T17" s="345" t="s">
        <v>694</v>
      </c>
      <c r="U17" s="345" t="s">
        <v>694</v>
      </c>
      <c r="V17" s="345" t="s">
        <v>694</v>
      </c>
      <c r="W17" s="345" t="s">
        <v>694</v>
      </c>
      <c r="X17" s="345" t="s">
        <v>694</v>
      </c>
      <c r="Y17" s="345"/>
      <c r="Z17" s="345" t="s">
        <v>694</v>
      </c>
      <c r="AA17" s="345" t="s">
        <v>694</v>
      </c>
      <c r="AB17" s="345" t="s">
        <v>694</v>
      </c>
      <c r="AC17" s="345" t="s">
        <v>694</v>
      </c>
      <c r="AD17" s="345" t="s">
        <v>694</v>
      </c>
      <c r="AE17" s="345" t="s">
        <v>694</v>
      </c>
      <c r="AF17" s="345" t="s">
        <v>694</v>
      </c>
      <c r="AG17" s="345" t="s">
        <v>694</v>
      </c>
      <c r="AH17" s="345" t="s">
        <v>694</v>
      </c>
      <c r="AI17" s="345" t="s">
        <v>694</v>
      </c>
      <c r="AJ17" s="345" t="s">
        <v>694</v>
      </c>
      <c r="AK17" s="345" t="s">
        <v>694</v>
      </c>
      <c r="AL17" s="345" t="s">
        <v>694</v>
      </c>
      <c r="AM17" s="345" t="s">
        <v>694</v>
      </c>
      <c r="AN17" s="345" t="s">
        <v>694</v>
      </c>
    </row>
    <row r="18" spans="1:40" s="9" customFormat="1" ht="12">
      <c r="A18" s="6"/>
      <c r="B18" s="467"/>
      <c r="C18" s="6"/>
      <c r="D18" s="36" t="s">
        <v>682</v>
      </c>
      <c r="E18" s="171">
        <v>-22060</v>
      </c>
      <c r="F18" s="171">
        <v>0</v>
      </c>
      <c r="G18" s="171">
        <v>0</v>
      </c>
      <c r="H18" s="171">
        <v>0</v>
      </c>
      <c r="I18" s="171">
        <v>0</v>
      </c>
      <c r="J18" s="171"/>
      <c r="K18" s="171">
        <v>0</v>
      </c>
      <c r="L18" s="171">
        <v>0</v>
      </c>
      <c r="M18" s="171">
        <v>0</v>
      </c>
      <c r="N18" s="171">
        <v>0</v>
      </c>
      <c r="O18" s="171">
        <v>0</v>
      </c>
      <c r="P18" s="171">
        <v>0</v>
      </c>
      <c r="Q18" s="171">
        <v>0</v>
      </c>
      <c r="R18" s="171"/>
      <c r="S18" s="345" t="s">
        <v>694</v>
      </c>
      <c r="T18" s="345" t="s">
        <v>694</v>
      </c>
      <c r="U18" s="345" t="s">
        <v>694</v>
      </c>
      <c r="V18" s="345" t="s">
        <v>694</v>
      </c>
      <c r="W18" s="345" t="s">
        <v>694</v>
      </c>
      <c r="X18" s="345" t="s">
        <v>694</v>
      </c>
      <c r="Y18" s="345"/>
      <c r="Z18" s="345" t="s">
        <v>694</v>
      </c>
      <c r="AA18" s="345" t="s">
        <v>694</v>
      </c>
      <c r="AB18" s="345" t="s">
        <v>694</v>
      </c>
      <c r="AC18" s="345" t="s">
        <v>694</v>
      </c>
      <c r="AD18" s="345" t="s">
        <v>694</v>
      </c>
      <c r="AE18" s="345" t="s">
        <v>694</v>
      </c>
      <c r="AF18" s="345" t="s">
        <v>694</v>
      </c>
      <c r="AG18" s="345" t="s">
        <v>694</v>
      </c>
      <c r="AH18" s="345" t="s">
        <v>694</v>
      </c>
      <c r="AI18" s="345" t="s">
        <v>694</v>
      </c>
      <c r="AJ18" s="345" t="s">
        <v>694</v>
      </c>
      <c r="AK18" s="345" t="s">
        <v>694</v>
      </c>
      <c r="AL18" s="345" t="s">
        <v>694</v>
      </c>
      <c r="AM18" s="345" t="s">
        <v>694</v>
      </c>
      <c r="AN18" s="345" t="s">
        <v>694</v>
      </c>
    </row>
    <row r="19" spans="1:40" s="9" customFormat="1" ht="12">
      <c r="A19" s="6"/>
      <c r="B19" s="467"/>
      <c r="C19" s="6"/>
      <c r="D19" s="36" t="s">
        <v>55</v>
      </c>
      <c r="E19" s="171">
        <v>-220</v>
      </c>
      <c r="F19" s="171">
        <v>732</v>
      </c>
      <c r="G19" s="171">
        <v>652</v>
      </c>
      <c r="H19" s="171">
        <v>-1350</v>
      </c>
      <c r="I19" s="171">
        <v>-741</v>
      </c>
      <c r="J19" s="171"/>
      <c r="K19" s="171">
        <v>-369</v>
      </c>
      <c r="L19" s="171">
        <v>323</v>
      </c>
      <c r="M19" s="171">
        <v>-2722</v>
      </c>
      <c r="N19" s="171">
        <v>-652</v>
      </c>
      <c r="O19" s="171">
        <v>-162</v>
      </c>
      <c r="P19" s="171">
        <v>-129</v>
      </c>
      <c r="Q19" s="171">
        <v>-293</v>
      </c>
      <c r="R19" s="171"/>
      <c r="S19" s="345" t="s">
        <v>694</v>
      </c>
      <c r="T19" s="345" t="s">
        <v>694</v>
      </c>
      <c r="U19" s="345" t="s">
        <v>694</v>
      </c>
      <c r="V19" s="345" t="s">
        <v>694</v>
      </c>
      <c r="W19" s="345" t="s">
        <v>694</v>
      </c>
      <c r="X19" s="345" t="s">
        <v>694</v>
      </c>
      <c r="Y19" s="345"/>
      <c r="Z19" s="345" t="s">
        <v>694</v>
      </c>
      <c r="AA19" s="345" t="s">
        <v>694</v>
      </c>
      <c r="AB19" s="345" t="s">
        <v>694</v>
      </c>
      <c r="AC19" s="345" t="s">
        <v>694</v>
      </c>
      <c r="AD19" s="345" t="s">
        <v>694</v>
      </c>
      <c r="AE19" s="345" t="s">
        <v>694</v>
      </c>
      <c r="AF19" s="345" t="s">
        <v>694</v>
      </c>
      <c r="AG19" s="345" t="s">
        <v>694</v>
      </c>
      <c r="AH19" s="345" t="s">
        <v>694</v>
      </c>
      <c r="AI19" s="345" t="s">
        <v>694</v>
      </c>
      <c r="AJ19" s="345" t="s">
        <v>694</v>
      </c>
      <c r="AK19" s="345" t="s">
        <v>694</v>
      </c>
      <c r="AL19" s="345" t="s">
        <v>694</v>
      </c>
      <c r="AM19" s="345" t="s">
        <v>694</v>
      </c>
      <c r="AN19" s="345" t="s">
        <v>694</v>
      </c>
    </row>
    <row r="20" spans="1:40" s="9" customFormat="1" ht="12">
      <c r="A20" s="6"/>
      <c r="B20" s="467"/>
      <c r="C20" s="6"/>
      <c r="D20" s="36" t="s">
        <v>762</v>
      </c>
      <c r="E20" s="171">
        <v>0</v>
      </c>
      <c r="F20" s="171">
        <v>0</v>
      </c>
      <c r="G20" s="171">
        <v>0</v>
      </c>
      <c r="H20" s="171">
        <v>0</v>
      </c>
      <c r="I20" s="171">
        <v>0</v>
      </c>
      <c r="J20" s="171"/>
      <c r="K20" s="171">
        <v>0</v>
      </c>
      <c r="L20" s="171">
        <v>2413</v>
      </c>
      <c r="M20" s="171">
        <v>950</v>
      </c>
      <c r="N20" s="171">
        <v>440</v>
      </c>
      <c r="O20" s="171">
        <v>80</v>
      </c>
      <c r="P20" s="171">
        <v>3</v>
      </c>
      <c r="Q20" s="171">
        <v>50</v>
      </c>
      <c r="R20" s="171"/>
      <c r="S20" s="345" t="s">
        <v>694</v>
      </c>
      <c r="T20" s="345" t="s">
        <v>694</v>
      </c>
      <c r="U20" s="345" t="s">
        <v>694</v>
      </c>
      <c r="V20" s="345" t="s">
        <v>694</v>
      </c>
      <c r="W20" s="345" t="s">
        <v>694</v>
      </c>
      <c r="X20" s="345" t="s">
        <v>694</v>
      </c>
      <c r="Y20" s="345"/>
      <c r="Z20" s="345" t="s">
        <v>694</v>
      </c>
      <c r="AA20" s="345" t="s">
        <v>694</v>
      </c>
      <c r="AB20" s="345" t="s">
        <v>694</v>
      </c>
      <c r="AC20" s="345" t="s">
        <v>694</v>
      </c>
      <c r="AD20" s="345" t="s">
        <v>694</v>
      </c>
      <c r="AE20" s="345" t="s">
        <v>694</v>
      </c>
      <c r="AF20" s="345" t="s">
        <v>694</v>
      </c>
      <c r="AG20" s="345" t="s">
        <v>694</v>
      </c>
      <c r="AH20" s="345" t="s">
        <v>694</v>
      </c>
      <c r="AI20" s="345" t="s">
        <v>694</v>
      </c>
      <c r="AJ20" s="345" t="s">
        <v>694</v>
      </c>
      <c r="AK20" s="345" t="s">
        <v>694</v>
      </c>
      <c r="AL20" s="345" t="s">
        <v>694</v>
      </c>
      <c r="AM20" s="345" t="s">
        <v>694</v>
      </c>
      <c r="AN20" s="345" t="s">
        <v>694</v>
      </c>
    </row>
    <row r="21" spans="1:40" s="9" customFormat="1" ht="12">
      <c r="A21" s="6"/>
      <c r="B21" s="467"/>
      <c r="C21" s="6"/>
      <c r="D21" s="36" t="s">
        <v>57</v>
      </c>
      <c r="E21" s="171">
        <v>-7389</v>
      </c>
      <c r="F21" s="171">
        <v>-3300</v>
      </c>
      <c r="G21" s="171">
        <v>-888</v>
      </c>
      <c r="H21" s="171">
        <v>-2710</v>
      </c>
      <c r="I21" s="171">
        <v>-2801</v>
      </c>
      <c r="J21" s="171"/>
      <c r="K21" s="171">
        <v>-4350</v>
      </c>
      <c r="L21" s="171">
        <v>-1276</v>
      </c>
      <c r="M21" s="171">
        <v>-1560</v>
      </c>
      <c r="N21" s="171">
        <v>-1367</v>
      </c>
      <c r="O21" s="171">
        <v>-2048</v>
      </c>
      <c r="P21" s="171">
        <v>-2561</v>
      </c>
      <c r="Q21" s="171">
        <v>-2524</v>
      </c>
      <c r="R21" s="171"/>
      <c r="S21" s="345" t="s">
        <v>694</v>
      </c>
      <c r="T21" s="345" t="s">
        <v>694</v>
      </c>
      <c r="U21" s="345" t="s">
        <v>694</v>
      </c>
      <c r="V21" s="345" t="s">
        <v>694</v>
      </c>
      <c r="W21" s="345" t="s">
        <v>694</v>
      </c>
      <c r="X21" s="345" t="s">
        <v>694</v>
      </c>
      <c r="Y21" s="345"/>
      <c r="Z21" s="345" t="s">
        <v>694</v>
      </c>
      <c r="AA21" s="345" t="s">
        <v>694</v>
      </c>
      <c r="AB21" s="345" t="s">
        <v>694</v>
      </c>
      <c r="AC21" s="345" t="s">
        <v>694</v>
      </c>
      <c r="AD21" s="345" t="s">
        <v>694</v>
      </c>
      <c r="AE21" s="345" t="s">
        <v>694</v>
      </c>
      <c r="AF21" s="345" t="s">
        <v>694</v>
      </c>
      <c r="AG21" s="345" t="s">
        <v>694</v>
      </c>
      <c r="AH21" s="345" t="s">
        <v>694</v>
      </c>
      <c r="AI21" s="345" t="s">
        <v>694</v>
      </c>
      <c r="AJ21" s="345" t="s">
        <v>694</v>
      </c>
      <c r="AK21" s="345" t="s">
        <v>694</v>
      </c>
      <c r="AL21" s="345" t="s">
        <v>694</v>
      </c>
      <c r="AM21" s="345" t="s">
        <v>694</v>
      </c>
      <c r="AN21" s="345" t="s">
        <v>694</v>
      </c>
    </row>
    <row r="22" spans="1:40" s="9" customFormat="1" ht="12">
      <c r="A22" s="6"/>
      <c r="B22" s="467"/>
      <c r="C22" s="6"/>
      <c r="D22" s="36" t="s">
        <v>58</v>
      </c>
      <c r="E22" s="171">
        <v>22768</v>
      </c>
      <c r="F22" s="171">
        <v>22819</v>
      </c>
      <c r="G22" s="171">
        <v>16883</v>
      </c>
      <c r="H22" s="171">
        <v>13809</v>
      </c>
      <c r="I22" s="171">
        <v>15026</v>
      </c>
      <c r="J22" s="171"/>
      <c r="K22" s="171">
        <v>15455</v>
      </c>
      <c r="L22" s="171">
        <v>90481</v>
      </c>
      <c r="M22" s="171">
        <v>60146</v>
      </c>
      <c r="N22" s="171">
        <v>98064</v>
      </c>
      <c r="O22" s="171">
        <v>90879</v>
      </c>
      <c r="P22" s="171">
        <v>83383</v>
      </c>
      <c r="Q22" s="171">
        <v>77710</v>
      </c>
      <c r="R22" s="171"/>
      <c r="S22" s="345" t="s">
        <v>694</v>
      </c>
      <c r="T22" s="345" t="s">
        <v>694</v>
      </c>
      <c r="U22" s="345" t="s">
        <v>694</v>
      </c>
      <c r="V22" s="345" t="s">
        <v>694</v>
      </c>
      <c r="W22" s="345" t="s">
        <v>694</v>
      </c>
      <c r="X22" s="345" t="s">
        <v>694</v>
      </c>
      <c r="Y22" s="345"/>
      <c r="Z22" s="345" t="s">
        <v>694</v>
      </c>
      <c r="AA22" s="345" t="s">
        <v>694</v>
      </c>
      <c r="AB22" s="345" t="s">
        <v>694</v>
      </c>
      <c r="AC22" s="345" t="s">
        <v>694</v>
      </c>
      <c r="AD22" s="345" t="s">
        <v>694</v>
      </c>
      <c r="AE22" s="345" t="s">
        <v>694</v>
      </c>
      <c r="AF22" s="345" t="s">
        <v>694</v>
      </c>
      <c r="AG22" s="345" t="s">
        <v>694</v>
      </c>
      <c r="AH22" s="345" t="s">
        <v>694</v>
      </c>
      <c r="AI22" s="345" t="s">
        <v>694</v>
      </c>
      <c r="AJ22" s="345" t="s">
        <v>694</v>
      </c>
      <c r="AK22" s="345" t="s">
        <v>694</v>
      </c>
      <c r="AL22" s="345" t="s">
        <v>694</v>
      </c>
      <c r="AM22" s="345" t="s">
        <v>694</v>
      </c>
      <c r="AN22" s="345" t="s">
        <v>694</v>
      </c>
    </row>
    <row r="23" spans="1:40" s="9" customFormat="1" ht="12">
      <c r="A23" s="6"/>
      <c r="B23" s="467"/>
      <c r="C23" s="6"/>
      <c r="D23" s="36" t="s">
        <v>763</v>
      </c>
      <c r="E23" s="171">
        <v>0</v>
      </c>
      <c r="F23" s="171">
        <v>0</v>
      </c>
      <c r="G23" s="171">
        <v>0</v>
      </c>
      <c r="H23" s="171">
        <v>0</v>
      </c>
      <c r="I23" s="171">
        <v>0</v>
      </c>
      <c r="J23" s="171"/>
      <c r="K23" s="171">
        <v>0</v>
      </c>
      <c r="L23" s="171">
        <v>0</v>
      </c>
      <c r="M23" s="171">
        <v>0</v>
      </c>
      <c r="N23" s="171">
        <v>0</v>
      </c>
      <c r="O23" s="171">
        <v>0</v>
      </c>
      <c r="P23" s="171">
        <v>1765</v>
      </c>
      <c r="Q23" s="171">
        <v>7524</v>
      </c>
      <c r="R23" s="171"/>
      <c r="S23" s="345"/>
      <c r="T23" s="345"/>
      <c r="U23" s="345"/>
      <c r="V23" s="345"/>
      <c r="W23" s="345"/>
      <c r="X23" s="345"/>
      <c r="Y23" s="345"/>
      <c r="Z23" s="345"/>
      <c r="AA23" s="345"/>
      <c r="AB23" s="345"/>
      <c r="AC23" s="345"/>
      <c r="AD23" s="345"/>
      <c r="AE23" s="345"/>
      <c r="AF23" s="345"/>
      <c r="AG23" s="345"/>
      <c r="AH23" s="345"/>
      <c r="AI23" s="345"/>
      <c r="AJ23" s="345"/>
      <c r="AK23" s="345"/>
      <c r="AL23" s="345"/>
      <c r="AM23" s="345"/>
      <c r="AN23" s="345"/>
    </row>
    <row r="24" spans="1:40" s="9" customFormat="1" ht="12">
      <c r="A24" s="6"/>
      <c r="B24" s="467"/>
      <c r="C24" s="6"/>
      <c r="D24" s="36" t="s">
        <v>4</v>
      </c>
      <c r="E24" s="171">
        <v>0</v>
      </c>
      <c r="F24" s="171">
        <v>0</v>
      </c>
      <c r="G24" s="171">
        <v>0</v>
      </c>
      <c r="H24" s="171">
        <v>0</v>
      </c>
      <c r="I24" s="171">
        <v>0</v>
      </c>
      <c r="J24" s="171"/>
      <c r="K24" s="171">
        <v>-16880</v>
      </c>
      <c r="L24" s="171">
        <v>7653</v>
      </c>
      <c r="M24" s="171">
        <v>-3812</v>
      </c>
      <c r="N24" s="171">
        <v>40423</v>
      </c>
      <c r="O24" s="171">
        <v>73267</v>
      </c>
      <c r="P24" s="171">
        <v>12425</v>
      </c>
      <c r="Q24" s="171">
        <v>-1920</v>
      </c>
      <c r="R24" s="171"/>
      <c r="S24" s="345" t="s">
        <v>694</v>
      </c>
      <c r="T24" s="345" t="s">
        <v>694</v>
      </c>
      <c r="U24" s="345" t="s">
        <v>694</v>
      </c>
      <c r="V24" s="345" t="s">
        <v>694</v>
      </c>
      <c r="W24" s="345" t="s">
        <v>694</v>
      </c>
      <c r="X24" s="345" t="s">
        <v>694</v>
      </c>
      <c r="Y24" s="345"/>
      <c r="Z24" s="345" t="s">
        <v>694</v>
      </c>
      <c r="AA24" s="345" t="s">
        <v>694</v>
      </c>
      <c r="AB24" s="345" t="s">
        <v>694</v>
      </c>
      <c r="AC24" s="345" t="s">
        <v>694</v>
      </c>
      <c r="AD24" s="345" t="s">
        <v>694</v>
      </c>
      <c r="AE24" s="345" t="s">
        <v>694</v>
      </c>
      <c r="AF24" s="345" t="s">
        <v>694</v>
      </c>
      <c r="AG24" s="345" t="s">
        <v>694</v>
      </c>
      <c r="AH24" s="345" t="s">
        <v>694</v>
      </c>
      <c r="AI24" s="345" t="s">
        <v>694</v>
      </c>
      <c r="AJ24" s="345" t="s">
        <v>694</v>
      </c>
      <c r="AK24" s="345" t="s">
        <v>694</v>
      </c>
      <c r="AL24" s="345" t="s">
        <v>694</v>
      </c>
      <c r="AM24" s="345" t="s">
        <v>694</v>
      </c>
      <c r="AN24" s="345" t="s">
        <v>694</v>
      </c>
    </row>
    <row r="25" spans="1:40" s="9" customFormat="1" ht="12">
      <c r="A25" s="6"/>
      <c r="B25" s="467"/>
      <c r="C25" s="6"/>
      <c r="D25" s="36" t="s">
        <v>681</v>
      </c>
      <c r="E25" s="171">
        <v>-12692</v>
      </c>
      <c r="F25" s="171">
        <v>0</v>
      </c>
      <c r="G25" s="171">
        <v>0</v>
      </c>
      <c r="H25" s="171">
        <v>0</v>
      </c>
      <c r="I25" s="171">
        <v>0</v>
      </c>
      <c r="J25" s="171"/>
      <c r="K25" s="171">
        <v>0</v>
      </c>
      <c r="L25" s="171">
        <v>0</v>
      </c>
      <c r="M25" s="171">
        <v>5488</v>
      </c>
      <c r="N25" s="171">
        <v>-64432</v>
      </c>
      <c r="O25" s="171">
        <v>-42089</v>
      </c>
      <c r="P25" s="171">
        <v>27509</v>
      </c>
      <c r="Q25" s="171">
        <v>9340</v>
      </c>
      <c r="R25" s="171"/>
      <c r="S25" s="345" t="s">
        <v>694</v>
      </c>
      <c r="T25" s="345" t="s">
        <v>694</v>
      </c>
      <c r="U25" s="345" t="s">
        <v>694</v>
      </c>
      <c r="V25" s="345" t="s">
        <v>694</v>
      </c>
      <c r="W25" s="345" t="s">
        <v>694</v>
      </c>
      <c r="X25" s="345" t="s">
        <v>694</v>
      </c>
      <c r="Y25" s="345"/>
      <c r="Z25" s="345" t="s">
        <v>694</v>
      </c>
      <c r="AA25" s="345" t="s">
        <v>694</v>
      </c>
      <c r="AB25" s="345" t="s">
        <v>694</v>
      </c>
      <c r="AC25" s="345" t="s">
        <v>694</v>
      </c>
      <c r="AD25" s="345" t="s">
        <v>694</v>
      </c>
      <c r="AE25" s="345" t="s">
        <v>694</v>
      </c>
      <c r="AF25" s="345" t="s">
        <v>694</v>
      </c>
      <c r="AG25" s="345" t="s">
        <v>694</v>
      </c>
      <c r="AH25" s="345" t="s">
        <v>694</v>
      </c>
      <c r="AI25" s="345" t="s">
        <v>694</v>
      </c>
      <c r="AJ25" s="345" t="s">
        <v>694</v>
      </c>
      <c r="AK25" s="345" t="s">
        <v>694</v>
      </c>
      <c r="AL25" s="345" t="s">
        <v>694</v>
      </c>
      <c r="AM25" s="345" t="s">
        <v>694</v>
      </c>
      <c r="AN25" s="345" t="s">
        <v>694</v>
      </c>
    </row>
    <row r="26" spans="1:40" s="9" customFormat="1" ht="12">
      <c r="A26" s="6"/>
      <c r="B26" s="467"/>
      <c r="C26" s="6"/>
      <c r="D26" s="36" t="s">
        <v>59</v>
      </c>
      <c r="E26" s="171">
        <v>23343</v>
      </c>
      <c r="F26" s="171">
        <v>1244</v>
      </c>
      <c r="G26" s="171">
        <v>-2111</v>
      </c>
      <c r="H26" s="171">
        <v>19007</v>
      </c>
      <c r="I26" s="171">
        <v>-11229</v>
      </c>
      <c r="J26" s="171"/>
      <c r="K26" s="171">
        <v>10845</v>
      </c>
      <c r="L26" s="171">
        <v>438029</v>
      </c>
      <c r="M26" s="171">
        <v>160354</v>
      </c>
      <c r="N26" s="171">
        <v>-79432</v>
      </c>
      <c r="O26" s="171">
        <v>41570</v>
      </c>
      <c r="P26" s="171">
        <v>76345</v>
      </c>
      <c r="Q26" s="171">
        <v>-45956</v>
      </c>
      <c r="R26" s="171"/>
      <c r="S26" s="345" t="s">
        <v>694</v>
      </c>
      <c r="T26" s="345" t="s">
        <v>694</v>
      </c>
      <c r="U26" s="345" t="s">
        <v>694</v>
      </c>
      <c r="V26" s="345" t="s">
        <v>694</v>
      </c>
      <c r="W26" s="345" t="s">
        <v>694</v>
      </c>
      <c r="X26" s="345" t="s">
        <v>694</v>
      </c>
      <c r="Y26" s="345"/>
      <c r="Z26" s="345" t="s">
        <v>694</v>
      </c>
      <c r="AA26" s="345" t="s">
        <v>694</v>
      </c>
      <c r="AB26" s="345" t="s">
        <v>694</v>
      </c>
      <c r="AC26" s="345" t="s">
        <v>694</v>
      </c>
      <c r="AD26" s="345" t="s">
        <v>694</v>
      </c>
      <c r="AE26" s="345" t="s">
        <v>694</v>
      </c>
      <c r="AF26" s="345" t="s">
        <v>694</v>
      </c>
      <c r="AG26" s="345" t="s">
        <v>694</v>
      </c>
      <c r="AH26" s="345" t="s">
        <v>694</v>
      </c>
      <c r="AI26" s="345" t="s">
        <v>694</v>
      </c>
      <c r="AJ26" s="345" t="s">
        <v>694</v>
      </c>
      <c r="AK26" s="345" t="s">
        <v>694</v>
      </c>
      <c r="AL26" s="345" t="s">
        <v>694</v>
      </c>
      <c r="AM26" s="345" t="s">
        <v>694</v>
      </c>
      <c r="AN26" s="345" t="s">
        <v>694</v>
      </c>
    </row>
    <row r="27" spans="1:40" s="9" customFormat="1" ht="12">
      <c r="A27" s="6"/>
      <c r="B27" s="467"/>
      <c r="C27" s="6"/>
      <c r="D27" s="63" t="s">
        <v>60</v>
      </c>
      <c r="E27" s="366">
        <v>0</v>
      </c>
      <c r="F27" s="366">
        <v>664</v>
      </c>
      <c r="G27" s="366">
        <v>-638</v>
      </c>
      <c r="H27" s="366">
        <v>234</v>
      </c>
      <c r="I27" s="366">
        <v>2813</v>
      </c>
      <c r="J27" s="366"/>
      <c r="K27" s="366">
        <v>5</v>
      </c>
      <c r="L27" s="366">
        <v>1170</v>
      </c>
      <c r="M27" s="366">
        <v>-289</v>
      </c>
      <c r="N27" s="366">
        <v>-738</v>
      </c>
      <c r="O27" s="366">
        <v>-930</v>
      </c>
      <c r="P27" s="366">
        <v>663</v>
      </c>
      <c r="Q27" s="366">
        <v>-484</v>
      </c>
      <c r="R27" s="366"/>
      <c r="S27" s="369" t="s">
        <v>694</v>
      </c>
      <c r="T27" s="369" t="s">
        <v>694</v>
      </c>
      <c r="U27" s="369" t="s">
        <v>694</v>
      </c>
      <c r="V27" s="369" t="s">
        <v>694</v>
      </c>
      <c r="W27" s="369" t="s">
        <v>694</v>
      </c>
      <c r="X27" s="369" t="s">
        <v>694</v>
      </c>
      <c r="Y27" s="369"/>
      <c r="Z27" s="369" t="s">
        <v>694</v>
      </c>
      <c r="AA27" s="369" t="s">
        <v>694</v>
      </c>
      <c r="AB27" s="369" t="s">
        <v>694</v>
      </c>
      <c r="AC27" s="369" t="s">
        <v>694</v>
      </c>
      <c r="AD27" s="369" t="s">
        <v>694</v>
      </c>
      <c r="AE27" s="369" t="s">
        <v>694</v>
      </c>
      <c r="AF27" s="369" t="s">
        <v>694</v>
      </c>
      <c r="AG27" s="369" t="s">
        <v>694</v>
      </c>
      <c r="AH27" s="369" t="s">
        <v>694</v>
      </c>
      <c r="AI27" s="369" t="s">
        <v>694</v>
      </c>
      <c r="AJ27" s="369" t="s">
        <v>694</v>
      </c>
      <c r="AK27" s="369" t="s">
        <v>694</v>
      </c>
      <c r="AL27" s="369" t="s">
        <v>694</v>
      </c>
      <c r="AM27" s="369" t="s">
        <v>694</v>
      </c>
      <c r="AN27" s="369" t="s">
        <v>694</v>
      </c>
    </row>
    <row r="28" spans="1:40" s="9" customFormat="1" ht="12">
      <c r="A28" s="6"/>
      <c r="B28" s="467"/>
      <c r="C28" s="6"/>
      <c r="D28" s="121" t="s">
        <v>61</v>
      </c>
      <c r="E28" s="367">
        <f>SUM(E8:E27)</f>
        <v>308473</v>
      </c>
      <c r="F28" s="367">
        <f>SUM(F8:F27)</f>
        <v>142789</v>
      </c>
      <c r="G28" s="367">
        <f>SUM(G8:G27)</f>
        <v>206979</v>
      </c>
      <c r="H28" s="367">
        <f>SUM(H8:H27)</f>
        <v>281159</v>
      </c>
      <c r="I28" s="367">
        <f>SUM(I8:I27)</f>
        <v>285927</v>
      </c>
      <c r="J28" s="367"/>
      <c r="K28" s="367">
        <f t="shared" ref="K28:Q28" si="0">SUM(K8:K27)</f>
        <v>202346</v>
      </c>
      <c r="L28" s="367">
        <f t="shared" si="0"/>
        <v>409838</v>
      </c>
      <c r="M28" s="367">
        <f t="shared" si="0"/>
        <v>292219</v>
      </c>
      <c r="N28" s="367">
        <f t="shared" si="0"/>
        <v>217761.92912010831</v>
      </c>
      <c r="O28" s="367">
        <f t="shared" si="0"/>
        <v>198809</v>
      </c>
      <c r="P28" s="367">
        <f t="shared" si="0"/>
        <v>219128</v>
      </c>
      <c r="Q28" s="367">
        <f t="shared" si="0"/>
        <v>224216</v>
      </c>
      <c r="R28" s="367"/>
      <c r="S28" s="345" t="s">
        <v>694</v>
      </c>
      <c r="T28" s="345" t="s">
        <v>694</v>
      </c>
      <c r="U28" s="345" t="s">
        <v>694</v>
      </c>
      <c r="V28" s="345" t="s">
        <v>694</v>
      </c>
      <c r="W28" s="345" t="s">
        <v>694</v>
      </c>
      <c r="X28" s="345" t="s">
        <v>694</v>
      </c>
      <c r="Y28" s="345"/>
      <c r="Z28" s="345" t="s">
        <v>694</v>
      </c>
      <c r="AA28" s="345" t="s">
        <v>694</v>
      </c>
      <c r="AB28" s="345" t="s">
        <v>694</v>
      </c>
      <c r="AC28" s="345" t="s">
        <v>694</v>
      </c>
      <c r="AD28" s="345" t="s">
        <v>694</v>
      </c>
      <c r="AE28" s="345" t="s">
        <v>694</v>
      </c>
      <c r="AF28" s="345" t="s">
        <v>694</v>
      </c>
      <c r="AG28" s="345" t="s">
        <v>694</v>
      </c>
      <c r="AH28" s="345" t="s">
        <v>694</v>
      </c>
      <c r="AI28" s="345" t="s">
        <v>694</v>
      </c>
      <c r="AJ28" s="345" t="s">
        <v>694</v>
      </c>
      <c r="AK28" s="345" t="s">
        <v>694</v>
      </c>
      <c r="AL28" s="345" t="s">
        <v>694</v>
      </c>
      <c r="AM28" s="345" t="s">
        <v>694</v>
      </c>
      <c r="AN28" s="345" t="s">
        <v>694</v>
      </c>
    </row>
    <row r="29" spans="1:40" s="9" customFormat="1" ht="12">
      <c r="A29" s="6"/>
      <c r="B29" s="467"/>
      <c r="C29" s="6"/>
      <c r="D29" s="36" t="s">
        <v>62</v>
      </c>
      <c r="E29" s="171"/>
      <c r="F29" s="171"/>
      <c r="G29" s="171"/>
      <c r="H29" s="171"/>
      <c r="I29" s="171"/>
      <c r="J29" s="171"/>
      <c r="K29" s="171"/>
      <c r="L29" s="171"/>
      <c r="M29" s="171"/>
      <c r="N29" s="171"/>
      <c r="O29" s="171"/>
      <c r="P29" s="171"/>
      <c r="Q29" s="171"/>
      <c r="R29" s="171"/>
      <c r="S29" s="345"/>
      <c r="T29" s="345"/>
      <c r="U29" s="345"/>
      <c r="V29" s="345"/>
      <c r="W29" s="345"/>
      <c r="X29" s="345"/>
      <c r="Y29" s="345"/>
      <c r="Z29" s="345"/>
      <c r="AA29" s="345"/>
      <c r="AB29" s="345"/>
      <c r="AC29" s="345"/>
      <c r="AD29" s="345"/>
      <c r="AE29" s="345"/>
      <c r="AF29" s="345"/>
      <c r="AG29" s="345"/>
      <c r="AH29" s="345"/>
      <c r="AI29" s="345"/>
      <c r="AJ29" s="345"/>
      <c r="AK29" s="345"/>
      <c r="AL29" s="345"/>
      <c r="AM29" s="345"/>
      <c r="AN29" s="345"/>
    </row>
    <row r="30" spans="1:40" s="9" customFormat="1" ht="12">
      <c r="A30" s="6"/>
      <c r="B30" s="467"/>
      <c r="C30" s="6"/>
      <c r="D30" s="36" t="s">
        <v>63</v>
      </c>
      <c r="E30" s="171">
        <v>-685</v>
      </c>
      <c r="F30" s="171">
        <v>835</v>
      </c>
      <c r="G30" s="171">
        <v>-569</v>
      </c>
      <c r="H30" s="171">
        <v>-316</v>
      </c>
      <c r="I30" s="171">
        <v>592</v>
      </c>
      <c r="J30" s="171"/>
      <c r="K30" s="171">
        <v>-675</v>
      </c>
      <c r="L30" s="171">
        <v>-49</v>
      </c>
      <c r="M30" s="171">
        <v>38</v>
      </c>
      <c r="N30" s="171">
        <v>-379</v>
      </c>
      <c r="O30" s="171">
        <v>-637</v>
      </c>
      <c r="P30" s="171">
        <v>-1956</v>
      </c>
      <c r="Q30" s="171">
        <v>-910</v>
      </c>
      <c r="R30" s="171"/>
      <c r="S30" s="345" t="s">
        <v>694</v>
      </c>
      <c r="T30" s="345" t="s">
        <v>694</v>
      </c>
      <c r="U30" s="345" t="s">
        <v>694</v>
      </c>
      <c r="V30" s="345" t="s">
        <v>694</v>
      </c>
      <c r="W30" s="345" t="s">
        <v>694</v>
      </c>
      <c r="X30" s="345" t="s">
        <v>694</v>
      </c>
      <c r="Y30" s="345"/>
      <c r="Z30" s="345" t="s">
        <v>694</v>
      </c>
      <c r="AA30" s="345" t="s">
        <v>694</v>
      </c>
      <c r="AB30" s="345" t="s">
        <v>694</v>
      </c>
      <c r="AC30" s="345" t="s">
        <v>694</v>
      </c>
      <c r="AD30" s="345" t="s">
        <v>694</v>
      </c>
      <c r="AE30" s="345" t="s">
        <v>694</v>
      </c>
      <c r="AF30" s="345" t="s">
        <v>694</v>
      </c>
      <c r="AG30" s="345" t="s">
        <v>694</v>
      </c>
      <c r="AH30" s="345" t="s">
        <v>694</v>
      </c>
      <c r="AI30" s="345" t="s">
        <v>694</v>
      </c>
      <c r="AJ30" s="345" t="s">
        <v>694</v>
      </c>
      <c r="AK30" s="345" t="s">
        <v>694</v>
      </c>
      <c r="AL30" s="345" t="s">
        <v>694</v>
      </c>
      <c r="AM30" s="345" t="s">
        <v>694</v>
      </c>
      <c r="AN30" s="345" t="s">
        <v>694</v>
      </c>
    </row>
    <row r="31" spans="1:40" s="9" customFormat="1" ht="12">
      <c r="A31" s="6"/>
      <c r="B31" s="467"/>
      <c r="C31" s="6"/>
      <c r="D31" s="36" t="s">
        <v>64</v>
      </c>
      <c r="E31" s="171">
        <v>15056</v>
      </c>
      <c r="F31" s="171">
        <v>14685</v>
      </c>
      <c r="G31" s="171">
        <v>-15889</v>
      </c>
      <c r="H31" s="171">
        <v>-11708</v>
      </c>
      <c r="I31" s="171">
        <v>5269</v>
      </c>
      <c r="J31" s="171"/>
      <c r="K31" s="171">
        <v>-1875</v>
      </c>
      <c r="L31" s="171">
        <v>-2924</v>
      </c>
      <c r="M31" s="171">
        <v>6421</v>
      </c>
      <c r="N31" s="171">
        <v>-2439</v>
      </c>
      <c r="O31" s="171">
        <v>-1810</v>
      </c>
      <c r="P31" s="171">
        <v>-9895</v>
      </c>
      <c r="Q31" s="171">
        <v>2103</v>
      </c>
      <c r="R31" s="171"/>
      <c r="S31" s="345" t="s">
        <v>694</v>
      </c>
      <c r="T31" s="345" t="s">
        <v>694</v>
      </c>
      <c r="U31" s="345" t="s">
        <v>694</v>
      </c>
      <c r="V31" s="345" t="s">
        <v>694</v>
      </c>
      <c r="W31" s="345" t="s">
        <v>694</v>
      </c>
      <c r="X31" s="345" t="s">
        <v>694</v>
      </c>
      <c r="Y31" s="345"/>
      <c r="Z31" s="345" t="s">
        <v>694</v>
      </c>
      <c r="AA31" s="345" t="s">
        <v>694</v>
      </c>
      <c r="AB31" s="345" t="s">
        <v>694</v>
      </c>
      <c r="AC31" s="345" t="s">
        <v>694</v>
      </c>
      <c r="AD31" s="345" t="s">
        <v>694</v>
      </c>
      <c r="AE31" s="345" t="s">
        <v>694</v>
      </c>
      <c r="AF31" s="345" t="s">
        <v>694</v>
      </c>
      <c r="AG31" s="345" t="s">
        <v>694</v>
      </c>
      <c r="AH31" s="345" t="s">
        <v>694</v>
      </c>
      <c r="AI31" s="345" t="s">
        <v>694</v>
      </c>
      <c r="AJ31" s="345" t="s">
        <v>694</v>
      </c>
      <c r="AK31" s="345" t="s">
        <v>694</v>
      </c>
      <c r="AL31" s="345" t="s">
        <v>694</v>
      </c>
      <c r="AM31" s="345" t="s">
        <v>694</v>
      </c>
      <c r="AN31" s="345" t="s">
        <v>694</v>
      </c>
    </row>
    <row r="32" spans="1:40" s="9" customFormat="1" ht="12">
      <c r="A32" s="6"/>
      <c r="B32" s="467"/>
      <c r="C32" s="6"/>
      <c r="D32" s="41" t="s">
        <v>65</v>
      </c>
      <c r="E32" s="326">
        <v>6706</v>
      </c>
      <c r="F32" s="326">
        <v>-5574</v>
      </c>
      <c r="G32" s="326">
        <v>5774</v>
      </c>
      <c r="H32" s="171">
        <v>-4331</v>
      </c>
      <c r="I32" s="326">
        <v>1291</v>
      </c>
      <c r="J32" s="326"/>
      <c r="K32" s="326">
        <v>18956</v>
      </c>
      <c r="L32" s="326">
        <v>-18495</v>
      </c>
      <c r="M32" s="326">
        <v>-1362</v>
      </c>
      <c r="N32" s="326">
        <v>3751</v>
      </c>
      <c r="O32" s="326">
        <v>366</v>
      </c>
      <c r="P32" s="326">
        <v>758</v>
      </c>
      <c r="Q32" s="171">
        <v>-7995</v>
      </c>
      <c r="R32" s="326"/>
      <c r="S32" s="369" t="s">
        <v>694</v>
      </c>
      <c r="T32" s="369" t="s">
        <v>694</v>
      </c>
      <c r="U32" s="369" t="s">
        <v>694</v>
      </c>
      <c r="V32" s="369" t="s">
        <v>694</v>
      </c>
      <c r="W32" s="369" t="s">
        <v>694</v>
      </c>
      <c r="X32" s="369" t="s">
        <v>694</v>
      </c>
      <c r="Y32" s="369"/>
      <c r="Z32" s="369" t="s">
        <v>694</v>
      </c>
      <c r="AA32" s="369" t="s">
        <v>694</v>
      </c>
      <c r="AB32" s="369" t="s">
        <v>694</v>
      </c>
      <c r="AC32" s="369" t="s">
        <v>694</v>
      </c>
      <c r="AD32" s="369" t="s">
        <v>694</v>
      </c>
      <c r="AE32" s="369" t="s">
        <v>694</v>
      </c>
      <c r="AF32" s="369" t="s">
        <v>694</v>
      </c>
      <c r="AG32" s="369" t="s">
        <v>694</v>
      </c>
      <c r="AH32" s="369" t="s">
        <v>694</v>
      </c>
      <c r="AI32" s="369" t="s">
        <v>694</v>
      </c>
      <c r="AJ32" s="369" t="s">
        <v>694</v>
      </c>
      <c r="AK32" s="369" t="s">
        <v>694</v>
      </c>
      <c r="AL32" s="369" t="s">
        <v>694</v>
      </c>
      <c r="AM32" s="369" t="s">
        <v>694</v>
      </c>
      <c r="AN32" s="369" t="s">
        <v>694</v>
      </c>
    </row>
    <row r="33" spans="1:42" s="17" customFormat="1" ht="12">
      <c r="A33" s="7"/>
      <c r="B33" s="467"/>
      <c r="C33" s="7"/>
      <c r="D33" s="122" t="s">
        <v>66</v>
      </c>
      <c r="E33" s="353">
        <f t="shared" ref="E33:O33" si="1">SUM(E28:E32)</f>
        <v>329550</v>
      </c>
      <c r="F33" s="353">
        <f t="shared" si="1"/>
        <v>152735</v>
      </c>
      <c r="G33" s="353">
        <f t="shared" si="1"/>
        <v>196295</v>
      </c>
      <c r="H33" s="353">
        <f t="shared" si="1"/>
        <v>264804</v>
      </c>
      <c r="I33" s="353">
        <f t="shared" si="1"/>
        <v>293079</v>
      </c>
      <c r="J33" s="353"/>
      <c r="K33" s="353">
        <f t="shared" si="1"/>
        <v>218752</v>
      </c>
      <c r="L33" s="353">
        <f t="shared" si="1"/>
        <v>388370</v>
      </c>
      <c r="M33" s="353">
        <f t="shared" si="1"/>
        <v>297316</v>
      </c>
      <c r="N33" s="353">
        <f t="shared" si="1"/>
        <v>218694.92912010831</v>
      </c>
      <c r="O33" s="353">
        <f t="shared" si="1"/>
        <v>196728</v>
      </c>
      <c r="P33" s="353">
        <f>SUM(P28:P32)</f>
        <v>208035</v>
      </c>
      <c r="Q33" s="353">
        <f>SUM(Q28:Q32)</f>
        <v>217414</v>
      </c>
      <c r="R33" s="353"/>
      <c r="S33" s="353">
        <v>69406</v>
      </c>
      <c r="T33" s="353">
        <v>126889</v>
      </c>
      <c r="U33" s="353">
        <v>134292</v>
      </c>
      <c r="V33" s="353">
        <v>130512</v>
      </c>
      <c r="W33" s="353">
        <v>136351</v>
      </c>
      <c r="X33" s="353">
        <v>156728</v>
      </c>
      <c r="Y33" s="353"/>
      <c r="Z33" s="353">
        <v>110608</v>
      </c>
      <c r="AA33" s="353">
        <v>108144</v>
      </c>
      <c r="AB33" s="353">
        <v>173421</v>
      </c>
      <c r="AC33" s="353">
        <v>214949</v>
      </c>
      <c r="AD33" s="353">
        <v>153424</v>
      </c>
      <c r="AE33" s="353">
        <v>143892</v>
      </c>
      <c r="AF33" s="353">
        <v>114348</v>
      </c>
      <c r="AG33" s="353">
        <v>104346.92912010831</v>
      </c>
      <c r="AH33" s="353">
        <v>94378</v>
      </c>
      <c r="AI33" s="353">
        <v>102350</v>
      </c>
      <c r="AJ33" s="353">
        <v>101069</v>
      </c>
      <c r="AK33" s="353">
        <v>106966</v>
      </c>
      <c r="AL33" s="353">
        <v>98126</v>
      </c>
      <c r="AM33" s="353">
        <f>Q33-AL33</f>
        <v>119288</v>
      </c>
      <c r="AN33" s="353">
        <v>83626</v>
      </c>
      <c r="AP33" s="407"/>
    </row>
    <row r="34" spans="1:42" s="9" customFormat="1" ht="12">
      <c r="A34" s="6"/>
      <c r="B34" s="467"/>
      <c r="C34" s="6"/>
      <c r="D34" s="36" t="s">
        <v>67</v>
      </c>
      <c r="E34" s="171">
        <v>0</v>
      </c>
      <c r="F34" s="171">
        <v>0</v>
      </c>
      <c r="G34" s="171">
        <v>0</v>
      </c>
      <c r="H34" s="171">
        <v>0</v>
      </c>
      <c r="I34" s="171">
        <v>0</v>
      </c>
      <c r="J34" s="171"/>
      <c r="K34" s="171">
        <v>70325</v>
      </c>
      <c r="L34" s="171">
        <v>9535</v>
      </c>
      <c r="M34" s="171">
        <v>10406</v>
      </c>
      <c r="N34" s="171">
        <v>5281</v>
      </c>
      <c r="O34" s="171">
        <v>10765</v>
      </c>
      <c r="P34" s="171">
        <v>1725</v>
      </c>
      <c r="Q34" s="171">
        <v>0</v>
      </c>
      <c r="R34" s="171"/>
      <c r="S34" s="171">
        <v>0</v>
      </c>
      <c r="T34" s="171">
        <v>0</v>
      </c>
      <c r="U34" s="171">
        <v>0</v>
      </c>
      <c r="V34" s="171">
        <v>0</v>
      </c>
      <c r="W34" s="171">
        <v>0</v>
      </c>
      <c r="X34" s="171">
        <v>0</v>
      </c>
      <c r="Y34" s="171"/>
      <c r="Z34" s="171">
        <v>63653</v>
      </c>
      <c r="AA34" s="171">
        <v>6672</v>
      </c>
      <c r="AB34" s="171">
        <v>8260</v>
      </c>
      <c r="AC34" s="171">
        <v>1275</v>
      </c>
      <c r="AD34" s="171">
        <v>7499</v>
      </c>
      <c r="AE34" s="171">
        <v>2907</v>
      </c>
      <c r="AF34" s="171">
        <v>3181</v>
      </c>
      <c r="AG34" s="171">
        <v>2100</v>
      </c>
      <c r="AH34" s="171">
        <v>8478</v>
      </c>
      <c r="AI34" s="171">
        <v>2287</v>
      </c>
      <c r="AJ34" s="171">
        <v>1725</v>
      </c>
      <c r="AK34" s="171">
        <v>0</v>
      </c>
      <c r="AL34" s="171">
        <v>0</v>
      </c>
      <c r="AM34" s="171">
        <f t="shared" ref="AM34:AM73" si="2">Q34-AL34</f>
        <v>0</v>
      </c>
      <c r="AN34" s="171">
        <v>0</v>
      </c>
      <c r="AP34" s="407"/>
    </row>
    <row r="35" spans="1:42" s="9" customFormat="1" ht="12">
      <c r="A35" s="6"/>
      <c r="B35" s="467"/>
      <c r="C35" s="6"/>
      <c r="D35" s="41" t="s">
        <v>68</v>
      </c>
      <c r="E35" s="326">
        <v>-60002</v>
      </c>
      <c r="F35" s="326">
        <v>-11575</v>
      </c>
      <c r="G35" s="326">
        <v>-21862</v>
      </c>
      <c r="H35" s="171">
        <v>-34648</v>
      </c>
      <c r="I35" s="326">
        <v>-41272</v>
      </c>
      <c r="J35" s="326"/>
      <c r="K35" s="326">
        <v>-37491</v>
      </c>
      <c r="L35" s="326">
        <v>-62690</v>
      </c>
      <c r="M35" s="326">
        <v>-59699</v>
      </c>
      <c r="N35" s="326">
        <v>-28135</v>
      </c>
      <c r="O35" s="326">
        <v>-33549</v>
      </c>
      <c r="P35" s="326">
        <v>-35418</v>
      </c>
      <c r="Q35" s="171">
        <v>-31987</v>
      </c>
      <c r="R35" s="326"/>
      <c r="S35" s="326">
        <v>-5890</v>
      </c>
      <c r="T35" s="326">
        <v>-15972</v>
      </c>
      <c r="U35" s="326">
        <v>-19571</v>
      </c>
      <c r="V35" s="326">
        <v>-15077</v>
      </c>
      <c r="W35" s="326">
        <v>-19930</v>
      </c>
      <c r="X35" s="326">
        <v>-21342</v>
      </c>
      <c r="Y35" s="326"/>
      <c r="Z35" s="326">
        <v>-23412</v>
      </c>
      <c r="AA35" s="326">
        <v>-14079</v>
      </c>
      <c r="AB35" s="326">
        <v>-23978</v>
      </c>
      <c r="AC35" s="326">
        <v>-38712</v>
      </c>
      <c r="AD35" s="326">
        <v>-26968</v>
      </c>
      <c r="AE35" s="326">
        <v>-32731</v>
      </c>
      <c r="AF35" s="326">
        <v>-21861</v>
      </c>
      <c r="AG35" s="326">
        <v>-6274</v>
      </c>
      <c r="AH35" s="326">
        <v>-24668</v>
      </c>
      <c r="AI35" s="326">
        <v>-8881</v>
      </c>
      <c r="AJ35" s="326">
        <v>-16610</v>
      </c>
      <c r="AK35" s="326">
        <v>-18808</v>
      </c>
      <c r="AL35" s="326">
        <v>-18019</v>
      </c>
      <c r="AM35" s="326">
        <f t="shared" si="2"/>
        <v>-13968</v>
      </c>
      <c r="AN35" s="326">
        <v>-2659</v>
      </c>
      <c r="AP35" s="407"/>
    </row>
    <row r="36" spans="1:42" s="17" customFormat="1" ht="12">
      <c r="A36" s="7"/>
      <c r="B36" s="467"/>
      <c r="C36" s="7"/>
      <c r="D36" s="120" t="s">
        <v>69</v>
      </c>
      <c r="E36" s="323">
        <f t="shared" ref="E36:O36" si="3">SUM(E33:E35)</f>
        <v>269548</v>
      </c>
      <c r="F36" s="323">
        <f t="shared" si="3"/>
        <v>141160</v>
      </c>
      <c r="G36" s="323">
        <f t="shared" si="3"/>
        <v>174433</v>
      </c>
      <c r="H36" s="323">
        <f t="shared" si="3"/>
        <v>230156</v>
      </c>
      <c r="I36" s="323">
        <f t="shared" si="3"/>
        <v>251807</v>
      </c>
      <c r="J36" s="323"/>
      <c r="K36" s="323">
        <f t="shared" si="3"/>
        <v>251586</v>
      </c>
      <c r="L36" s="323">
        <f t="shared" si="3"/>
        <v>335215</v>
      </c>
      <c r="M36" s="323">
        <f t="shared" si="3"/>
        <v>248023</v>
      </c>
      <c r="N36" s="323">
        <f t="shared" si="3"/>
        <v>195840.92912010831</v>
      </c>
      <c r="O36" s="323">
        <f t="shared" si="3"/>
        <v>173944</v>
      </c>
      <c r="P36" s="323">
        <f>SUM(P33:P35)</f>
        <v>174342</v>
      </c>
      <c r="Q36" s="323">
        <f>SUM(Q33:Q35)</f>
        <v>185427</v>
      </c>
      <c r="R36" s="323"/>
      <c r="S36" s="323">
        <f t="shared" ref="S36:AN36" si="4">SUM(S33:S35)</f>
        <v>63516</v>
      </c>
      <c r="T36" s="323">
        <f>G36-S36</f>
        <v>110917</v>
      </c>
      <c r="U36" s="323">
        <f t="shared" si="4"/>
        <v>114721</v>
      </c>
      <c r="V36" s="323">
        <f>H36-U36</f>
        <v>115435</v>
      </c>
      <c r="W36" s="323">
        <f t="shared" si="4"/>
        <v>116421</v>
      </c>
      <c r="X36" s="323">
        <f>I36-W36</f>
        <v>135386</v>
      </c>
      <c r="Y36" s="323"/>
      <c r="Z36" s="323">
        <f t="shared" si="4"/>
        <v>150849</v>
      </c>
      <c r="AA36" s="323">
        <f>K36-Z36</f>
        <v>100737</v>
      </c>
      <c r="AB36" s="323">
        <f t="shared" si="4"/>
        <v>157703</v>
      </c>
      <c r="AC36" s="323">
        <f>L36-AB36</f>
        <v>177512</v>
      </c>
      <c r="AD36" s="323">
        <f t="shared" si="4"/>
        <v>133955</v>
      </c>
      <c r="AE36" s="323">
        <f>M36-AD36</f>
        <v>114068</v>
      </c>
      <c r="AF36" s="323">
        <f t="shared" si="4"/>
        <v>95668</v>
      </c>
      <c r="AG36" s="323">
        <f>N36-AF36</f>
        <v>100172.92912010831</v>
      </c>
      <c r="AH36" s="323">
        <f t="shared" si="4"/>
        <v>78188</v>
      </c>
      <c r="AI36" s="323">
        <f>O36-AH36</f>
        <v>95756</v>
      </c>
      <c r="AJ36" s="323">
        <f t="shared" si="4"/>
        <v>86184</v>
      </c>
      <c r="AK36" s="323">
        <f>P36-AJ36</f>
        <v>88158</v>
      </c>
      <c r="AL36" s="323">
        <f t="shared" si="4"/>
        <v>80107</v>
      </c>
      <c r="AM36" s="323">
        <f t="shared" si="4"/>
        <v>105320</v>
      </c>
      <c r="AN36" s="323">
        <f t="shared" si="4"/>
        <v>80967</v>
      </c>
      <c r="AP36" s="407"/>
    </row>
    <row r="37" spans="1:42" s="9" customFormat="1" ht="12">
      <c r="A37" s="6"/>
      <c r="B37" s="34"/>
      <c r="C37" s="6"/>
      <c r="D37" s="35"/>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1"/>
      <c r="AM37" s="171">
        <f t="shared" si="2"/>
        <v>0</v>
      </c>
      <c r="AN37" s="171">
        <v>0</v>
      </c>
      <c r="AP37" s="407"/>
    </row>
    <row r="38" spans="1:42" s="9" customFormat="1" ht="12" customHeight="1">
      <c r="A38" s="6"/>
      <c r="B38" s="462" t="s">
        <v>559</v>
      </c>
      <c r="C38" s="6"/>
      <c r="D38" s="36" t="s">
        <v>70</v>
      </c>
      <c r="E38" s="171">
        <v>0</v>
      </c>
      <c r="F38" s="171">
        <v>0</v>
      </c>
      <c r="G38" s="171">
        <v>0</v>
      </c>
      <c r="H38" s="171">
        <v>0</v>
      </c>
      <c r="I38" s="171">
        <v>0</v>
      </c>
      <c r="J38" s="171">
        <v>0</v>
      </c>
      <c r="K38" s="171">
        <v>0</v>
      </c>
      <c r="L38" s="171">
        <v>0</v>
      </c>
      <c r="M38" s="171">
        <v>0</v>
      </c>
      <c r="N38" s="171">
        <v>0</v>
      </c>
      <c r="O38" s="171">
        <v>0</v>
      </c>
      <c r="P38" s="171">
        <v>0</v>
      </c>
      <c r="Q38" s="171">
        <v>0</v>
      </c>
      <c r="R38" s="171"/>
      <c r="S38" s="171">
        <v>0</v>
      </c>
      <c r="T38" s="171">
        <v>0</v>
      </c>
      <c r="U38" s="171">
        <v>0</v>
      </c>
      <c r="V38" s="171">
        <v>0</v>
      </c>
      <c r="W38" s="171">
        <v>0</v>
      </c>
      <c r="X38" s="171">
        <v>0</v>
      </c>
      <c r="Y38" s="171"/>
      <c r="Z38" s="171">
        <v>0</v>
      </c>
      <c r="AA38" s="171">
        <v>0</v>
      </c>
      <c r="AB38" s="171">
        <v>0</v>
      </c>
      <c r="AC38" s="171">
        <v>0</v>
      </c>
      <c r="AD38" s="171">
        <v>0</v>
      </c>
      <c r="AE38" s="171">
        <v>0</v>
      </c>
      <c r="AF38" s="171">
        <v>0</v>
      </c>
      <c r="AG38" s="171">
        <v>0</v>
      </c>
      <c r="AH38" s="171">
        <v>0</v>
      </c>
      <c r="AI38" s="171">
        <v>0</v>
      </c>
      <c r="AJ38" s="171">
        <v>0</v>
      </c>
      <c r="AK38" s="171">
        <v>0</v>
      </c>
      <c r="AL38" s="171">
        <v>0</v>
      </c>
      <c r="AM38" s="171">
        <f t="shared" si="2"/>
        <v>0</v>
      </c>
      <c r="AN38" s="171">
        <v>0</v>
      </c>
      <c r="AP38" s="407"/>
    </row>
    <row r="39" spans="1:42" s="9" customFormat="1" ht="12" customHeight="1">
      <c r="A39" s="6"/>
      <c r="B39" s="462"/>
      <c r="C39" s="6"/>
      <c r="D39" s="36" t="s">
        <v>667</v>
      </c>
      <c r="E39" s="171">
        <v>0</v>
      </c>
      <c r="F39" s="171">
        <v>0</v>
      </c>
      <c r="G39" s="171">
        <v>0</v>
      </c>
      <c r="H39" s="171">
        <v>0</v>
      </c>
      <c r="I39" s="171">
        <v>0</v>
      </c>
      <c r="J39" s="171"/>
      <c r="K39" s="171">
        <v>-177648</v>
      </c>
      <c r="L39" s="171">
        <v>0</v>
      </c>
      <c r="M39" s="171">
        <v>0</v>
      </c>
      <c r="N39" s="171">
        <v>0</v>
      </c>
      <c r="O39" s="171">
        <v>0</v>
      </c>
      <c r="P39" s="171">
        <v>0</v>
      </c>
      <c r="Q39" s="171">
        <v>0</v>
      </c>
      <c r="R39" s="171"/>
      <c r="S39" s="171">
        <v>0</v>
      </c>
      <c r="T39" s="171">
        <v>0</v>
      </c>
      <c r="U39" s="171">
        <v>0</v>
      </c>
      <c r="V39" s="171">
        <v>0</v>
      </c>
      <c r="W39" s="171">
        <v>0</v>
      </c>
      <c r="X39" s="171">
        <v>0</v>
      </c>
      <c r="Y39" s="171"/>
      <c r="Z39" s="171">
        <v>0</v>
      </c>
      <c r="AA39" s="171">
        <v>-177648</v>
      </c>
      <c r="AB39" s="171">
        <v>0</v>
      </c>
      <c r="AC39" s="171">
        <v>0</v>
      </c>
      <c r="AD39" s="171">
        <v>0</v>
      </c>
      <c r="AE39" s="171">
        <v>0</v>
      </c>
      <c r="AF39" s="171">
        <v>0</v>
      </c>
      <c r="AG39" s="171">
        <v>0</v>
      </c>
      <c r="AH39" s="171">
        <v>0</v>
      </c>
      <c r="AI39" s="171">
        <v>0</v>
      </c>
      <c r="AJ39" s="171">
        <v>0</v>
      </c>
      <c r="AK39" s="171">
        <v>0</v>
      </c>
      <c r="AL39" s="171">
        <v>0</v>
      </c>
      <c r="AM39" s="171">
        <f t="shared" si="2"/>
        <v>0</v>
      </c>
      <c r="AN39" s="171">
        <v>0</v>
      </c>
      <c r="AP39" s="407"/>
    </row>
    <row r="40" spans="1:42" s="9" customFormat="1" ht="12" customHeight="1">
      <c r="A40" s="6"/>
      <c r="B40" s="462"/>
      <c r="C40" s="6"/>
      <c r="D40" s="36" t="s">
        <v>675</v>
      </c>
      <c r="E40" s="171">
        <v>-394800</v>
      </c>
      <c r="F40" s="171">
        <v>0</v>
      </c>
      <c r="G40" s="171">
        <v>0</v>
      </c>
      <c r="H40" s="171">
        <v>0</v>
      </c>
      <c r="I40" s="171">
        <v>0</v>
      </c>
      <c r="J40" s="171">
        <v>0</v>
      </c>
      <c r="K40" s="171">
        <v>0</v>
      </c>
      <c r="L40" s="171">
        <v>0</v>
      </c>
      <c r="M40" s="171">
        <v>0</v>
      </c>
      <c r="N40" s="171">
        <v>0</v>
      </c>
      <c r="O40" s="171">
        <v>0</v>
      </c>
      <c r="P40" s="171">
        <v>0</v>
      </c>
      <c r="Q40" s="171">
        <v>0</v>
      </c>
      <c r="R40" s="171"/>
      <c r="S40" s="171">
        <v>0</v>
      </c>
      <c r="T40" s="171">
        <v>0</v>
      </c>
      <c r="U40" s="171">
        <v>0</v>
      </c>
      <c r="V40" s="171">
        <v>0</v>
      </c>
      <c r="W40" s="171">
        <v>0</v>
      </c>
      <c r="X40" s="171">
        <v>0</v>
      </c>
      <c r="Y40" s="171"/>
      <c r="Z40" s="171">
        <v>0</v>
      </c>
      <c r="AA40" s="171">
        <v>0</v>
      </c>
      <c r="AB40" s="171">
        <v>0</v>
      </c>
      <c r="AC40" s="171">
        <v>0</v>
      </c>
      <c r="AD40" s="171">
        <v>0</v>
      </c>
      <c r="AE40" s="171">
        <v>0</v>
      </c>
      <c r="AF40" s="171">
        <v>0</v>
      </c>
      <c r="AG40" s="171">
        <v>0</v>
      </c>
      <c r="AH40" s="171">
        <v>0</v>
      </c>
      <c r="AI40" s="171">
        <v>0</v>
      </c>
      <c r="AJ40" s="171">
        <v>0</v>
      </c>
      <c r="AK40" s="171">
        <v>0</v>
      </c>
      <c r="AL40" s="171">
        <v>0</v>
      </c>
      <c r="AM40" s="171">
        <f t="shared" si="2"/>
        <v>0</v>
      </c>
      <c r="AN40" s="171">
        <v>0</v>
      </c>
      <c r="AP40" s="407"/>
    </row>
    <row r="41" spans="1:42" s="9" customFormat="1" ht="12" customHeight="1">
      <c r="A41" s="6"/>
      <c r="B41" s="462"/>
      <c r="C41" s="6"/>
      <c r="D41" s="36" t="s">
        <v>761</v>
      </c>
      <c r="E41" s="171">
        <v>27834</v>
      </c>
      <c r="F41" s="171">
        <v>0</v>
      </c>
      <c r="G41" s="171">
        <v>0</v>
      </c>
      <c r="H41" s="171">
        <v>0</v>
      </c>
      <c r="I41" s="171">
        <v>0</v>
      </c>
      <c r="J41" s="171">
        <v>0</v>
      </c>
      <c r="K41" s="171">
        <v>0</v>
      </c>
      <c r="L41" s="171">
        <v>0</v>
      </c>
      <c r="M41" s="171">
        <v>0</v>
      </c>
      <c r="N41" s="171">
        <v>0</v>
      </c>
      <c r="O41" s="171">
        <v>0</v>
      </c>
      <c r="P41" s="171">
        <v>28909</v>
      </c>
      <c r="Q41" s="171">
        <v>11842</v>
      </c>
      <c r="R41" s="171"/>
      <c r="S41" s="171">
        <v>0</v>
      </c>
      <c r="T41" s="171">
        <v>0</v>
      </c>
      <c r="U41" s="171">
        <v>0</v>
      </c>
      <c r="V41" s="171">
        <v>0</v>
      </c>
      <c r="W41" s="171">
        <v>0</v>
      </c>
      <c r="X41" s="171">
        <v>0</v>
      </c>
      <c r="Y41" s="171"/>
      <c r="Z41" s="171">
        <v>0</v>
      </c>
      <c r="AA41" s="171">
        <v>0</v>
      </c>
      <c r="AB41" s="171">
        <v>0</v>
      </c>
      <c r="AC41" s="171">
        <v>0</v>
      </c>
      <c r="AD41" s="171">
        <v>0</v>
      </c>
      <c r="AE41" s="171">
        <v>0</v>
      </c>
      <c r="AF41" s="171">
        <v>0</v>
      </c>
      <c r="AG41" s="171">
        <v>0</v>
      </c>
      <c r="AH41" s="171">
        <v>0</v>
      </c>
      <c r="AI41" s="171">
        <v>0</v>
      </c>
      <c r="AJ41" s="171">
        <v>862</v>
      </c>
      <c r="AK41" s="171">
        <v>28047</v>
      </c>
      <c r="AL41" s="171">
        <v>11842</v>
      </c>
      <c r="AM41" s="171">
        <f t="shared" si="2"/>
        <v>0</v>
      </c>
      <c r="AN41" s="171">
        <v>0</v>
      </c>
      <c r="AP41" s="407"/>
    </row>
    <row r="42" spans="1:42" s="9" customFormat="1" ht="12" customHeight="1">
      <c r="A42" s="6"/>
      <c r="B42" s="462"/>
      <c r="C42" s="6"/>
      <c r="D42" s="36" t="s">
        <v>676</v>
      </c>
      <c r="E42" s="171">
        <v>6035</v>
      </c>
      <c r="F42" s="171">
        <v>0</v>
      </c>
      <c r="G42" s="171">
        <v>0</v>
      </c>
      <c r="H42" s="171">
        <v>0</v>
      </c>
      <c r="I42" s="171">
        <v>0</v>
      </c>
      <c r="J42" s="171">
        <v>0</v>
      </c>
      <c r="K42" s="171">
        <v>0</v>
      </c>
      <c r="L42" s="171">
        <v>0</v>
      </c>
      <c r="M42" s="171">
        <v>0</v>
      </c>
      <c r="N42" s="171">
        <v>0</v>
      </c>
      <c r="O42" s="171">
        <v>0</v>
      </c>
      <c r="P42" s="171">
        <v>0</v>
      </c>
      <c r="Q42" s="171">
        <v>0</v>
      </c>
      <c r="R42" s="171"/>
      <c r="S42" s="171">
        <v>0</v>
      </c>
      <c r="T42" s="171">
        <v>0</v>
      </c>
      <c r="U42" s="171">
        <v>0</v>
      </c>
      <c r="V42" s="171">
        <v>0</v>
      </c>
      <c r="W42" s="171">
        <v>0</v>
      </c>
      <c r="X42" s="171">
        <v>0</v>
      </c>
      <c r="Y42" s="171"/>
      <c r="Z42" s="171">
        <v>0</v>
      </c>
      <c r="AA42" s="171">
        <v>0</v>
      </c>
      <c r="AB42" s="171">
        <v>0</v>
      </c>
      <c r="AC42" s="171">
        <v>0</v>
      </c>
      <c r="AD42" s="171">
        <v>0</v>
      </c>
      <c r="AE42" s="171">
        <v>0</v>
      </c>
      <c r="AF42" s="171">
        <v>0</v>
      </c>
      <c r="AG42" s="171">
        <v>0</v>
      </c>
      <c r="AH42" s="171">
        <v>0</v>
      </c>
      <c r="AI42" s="171">
        <v>0</v>
      </c>
      <c r="AJ42" s="171">
        <v>0</v>
      </c>
      <c r="AK42" s="171">
        <v>0</v>
      </c>
      <c r="AL42" s="171">
        <v>0</v>
      </c>
      <c r="AM42" s="171">
        <f t="shared" si="2"/>
        <v>0</v>
      </c>
      <c r="AN42" s="171">
        <v>0</v>
      </c>
      <c r="AP42" s="407"/>
    </row>
    <row r="43" spans="1:42" s="9" customFormat="1" ht="12" customHeight="1">
      <c r="A43" s="6"/>
      <c r="B43" s="462"/>
      <c r="C43" s="6"/>
      <c r="D43" s="36" t="s">
        <v>677</v>
      </c>
      <c r="E43" s="171">
        <v>6415</v>
      </c>
      <c r="F43" s="171">
        <v>0</v>
      </c>
      <c r="G43" s="171">
        <v>0</v>
      </c>
      <c r="H43" s="171">
        <v>0</v>
      </c>
      <c r="I43" s="171">
        <v>0</v>
      </c>
      <c r="J43" s="171">
        <v>0</v>
      </c>
      <c r="K43" s="171">
        <v>0</v>
      </c>
      <c r="L43" s="171">
        <v>0</v>
      </c>
      <c r="M43" s="171">
        <v>0</v>
      </c>
      <c r="N43" s="171">
        <v>0</v>
      </c>
      <c r="O43" s="171">
        <v>0</v>
      </c>
      <c r="P43" s="171">
        <v>0</v>
      </c>
      <c r="Q43" s="171">
        <v>0</v>
      </c>
      <c r="R43" s="171"/>
      <c r="S43" s="171">
        <v>0</v>
      </c>
      <c r="T43" s="171">
        <v>0</v>
      </c>
      <c r="U43" s="171">
        <v>0</v>
      </c>
      <c r="V43" s="171">
        <v>0</v>
      </c>
      <c r="W43" s="171">
        <v>0</v>
      </c>
      <c r="X43" s="171">
        <v>0</v>
      </c>
      <c r="Y43" s="171"/>
      <c r="Z43" s="171">
        <v>0</v>
      </c>
      <c r="AA43" s="171">
        <v>0</v>
      </c>
      <c r="AB43" s="171">
        <v>0</v>
      </c>
      <c r="AC43" s="171">
        <v>0</v>
      </c>
      <c r="AD43" s="171">
        <v>0</v>
      </c>
      <c r="AE43" s="171">
        <v>0</v>
      </c>
      <c r="AF43" s="171">
        <v>0</v>
      </c>
      <c r="AG43" s="171">
        <v>0</v>
      </c>
      <c r="AH43" s="171">
        <v>0</v>
      </c>
      <c r="AI43" s="171">
        <v>0</v>
      </c>
      <c r="AJ43" s="171">
        <v>0</v>
      </c>
      <c r="AK43" s="171">
        <v>0</v>
      </c>
      <c r="AL43" s="171">
        <v>0</v>
      </c>
      <c r="AM43" s="171">
        <f t="shared" si="2"/>
        <v>0</v>
      </c>
      <c r="AN43" s="171">
        <v>0</v>
      </c>
      <c r="AP43" s="407"/>
    </row>
    <row r="44" spans="1:42" s="9" customFormat="1" ht="12" customHeight="1">
      <c r="A44" s="6"/>
      <c r="B44" s="462"/>
      <c r="C44" s="6"/>
      <c r="D44" s="36" t="s">
        <v>678</v>
      </c>
      <c r="E44" s="171">
        <v>45034</v>
      </c>
      <c r="F44" s="171">
        <v>0</v>
      </c>
      <c r="G44" s="171">
        <v>0</v>
      </c>
      <c r="H44" s="171">
        <v>0</v>
      </c>
      <c r="I44" s="171">
        <v>0</v>
      </c>
      <c r="J44" s="171">
        <v>0</v>
      </c>
      <c r="K44" s="171">
        <v>0</v>
      </c>
      <c r="L44" s="171">
        <v>0</v>
      </c>
      <c r="M44" s="171">
        <v>0</v>
      </c>
      <c r="N44" s="171">
        <v>0</v>
      </c>
      <c r="O44" s="171">
        <v>0</v>
      </c>
      <c r="P44" s="171">
        <v>0</v>
      </c>
      <c r="Q44" s="171">
        <v>0</v>
      </c>
      <c r="R44" s="171"/>
      <c r="S44" s="171">
        <v>0</v>
      </c>
      <c r="T44" s="171">
        <v>0</v>
      </c>
      <c r="U44" s="171">
        <v>0</v>
      </c>
      <c r="V44" s="171">
        <v>0</v>
      </c>
      <c r="W44" s="171">
        <v>0</v>
      </c>
      <c r="X44" s="171">
        <v>0</v>
      </c>
      <c r="Y44" s="171"/>
      <c r="Z44" s="171">
        <v>0</v>
      </c>
      <c r="AA44" s="171">
        <v>0</v>
      </c>
      <c r="AB44" s="171">
        <v>0</v>
      </c>
      <c r="AC44" s="171">
        <v>0</v>
      </c>
      <c r="AD44" s="171">
        <v>0</v>
      </c>
      <c r="AE44" s="171">
        <v>0</v>
      </c>
      <c r="AF44" s="171">
        <v>0</v>
      </c>
      <c r="AG44" s="171">
        <v>0</v>
      </c>
      <c r="AH44" s="171">
        <v>0</v>
      </c>
      <c r="AI44" s="171">
        <v>0</v>
      </c>
      <c r="AJ44" s="171">
        <v>0</v>
      </c>
      <c r="AK44" s="171">
        <v>0</v>
      </c>
      <c r="AL44" s="171">
        <v>0</v>
      </c>
      <c r="AM44" s="171">
        <f t="shared" si="2"/>
        <v>0</v>
      </c>
      <c r="AN44" s="171">
        <v>0</v>
      </c>
      <c r="AP44" s="407"/>
    </row>
    <row r="45" spans="1:42" s="9" customFormat="1" ht="12" customHeight="1">
      <c r="A45" s="6"/>
      <c r="B45" s="462"/>
      <c r="C45" s="6"/>
      <c r="D45" s="36" t="s">
        <v>679</v>
      </c>
      <c r="E45" s="171">
        <v>-59360</v>
      </c>
      <c r="F45" s="171">
        <v>0</v>
      </c>
      <c r="G45" s="171">
        <v>0</v>
      </c>
      <c r="H45" s="171">
        <v>0</v>
      </c>
      <c r="I45" s="171">
        <v>0</v>
      </c>
      <c r="J45" s="171">
        <v>0</v>
      </c>
      <c r="K45" s="171">
        <v>0</v>
      </c>
      <c r="L45" s="171">
        <v>0</v>
      </c>
      <c r="M45" s="171">
        <v>0</v>
      </c>
      <c r="N45" s="171">
        <v>0</v>
      </c>
      <c r="O45" s="171">
        <v>0</v>
      </c>
      <c r="P45" s="171">
        <v>0</v>
      </c>
      <c r="Q45" s="171">
        <v>0</v>
      </c>
      <c r="R45" s="171"/>
      <c r="S45" s="171">
        <v>0</v>
      </c>
      <c r="T45" s="171">
        <v>0</v>
      </c>
      <c r="U45" s="171">
        <v>0</v>
      </c>
      <c r="V45" s="171">
        <v>0</v>
      </c>
      <c r="W45" s="171">
        <v>0</v>
      </c>
      <c r="X45" s="171">
        <v>0</v>
      </c>
      <c r="Y45" s="171"/>
      <c r="Z45" s="171">
        <v>0</v>
      </c>
      <c r="AA45" s="171">
        <v>0</v>
      </c>
      <c r="AB45" s="171">
        <v>0</v>
      </c>
      <c r="AC45" s="171">
        <v>0</v>
      </c>
      <c r="AD45" s="171">
        <v>0</v>
      </c>
      <c r="AE45" s="171">
        <v>0</v>
      </c>
      <c r="AF45" s="171">
        <v>0</v>
      </c>
      <c r="AG45" s="171">
        <v>0</v>
      </c>
      <c r="AH45" s="171">
        <v>0</v>
      </c>
      <c r="AI45" s="171">
        <v>0</v>
      </c>
      <c r="AJ45" s="171">
        <v>0</v>
      </c>
      <c r="AK45" s="171">
        <v>0</v>
      </c>
      <c r="AL45" s="171">
        <v>0</v>
      </c>
      <c r="AM45" s="171">
        <f t="shared" si="2"/>
        <v>0</v>
      </c>
      <c r="AN45" s="171">
        <v>0</v>
      </c>
      <c r="AP45" s="407"/>
    </row>
    <row r="46" spans="1:42" s="9" customFormat="1" ht="12">
      <c r="A46" s="6"/>
      <c r="B46" s="462"/>
      <c r="C46" s="6"/>
      <c r="D46" s="36" t="s">
        <v>71</v>
      </c>
      <c r="E46" s="171">
        <v>-347</v>
      </c>
      <c r="F46" s="171">
        <v>-512</v>
      </c>
      <c r="G46" s="171">
        <v>-212</v>
      </c>
      <c r="H46" s="171">
        <v>-20482</v>
      </c>
      <c r="I46" s="171">
        <v>-202</v>
      </c>
      <c r="J46" s="171"/>
      <c r="K46" s="171">
        <v>-121</v>
      </c>
      <c r="L46" s="171">
        <v>-211</v>
      </c>
      <c r="M46" s="171">
        <v>-100</v>
      </c>
      <c r="N46" s="171">
        <v>-118</v>
      </c>
      <c r="O46" s="171">
        <v>-1846</v>
      </c>
      <c r="P46" s="171">
        <v>-2554</v>
      </c>
      <c r="Q46" s="171">
        <v>-963</v>
      </c>
      <c r="R46" s="171"/>
      <c r="S46" s="171">
        <v>-26</v>
      </c>
      <c r="T46" s="171">
        <v>-186</v>
      </c>
      <c r="U46" s="171">
        <v>-20286</v>
      </c>
      <c r="V46" s="171">
        <v>-196</v>
      </c>
      <c r="W46" s="171">
        <v>-109</v>
      </c>
      <c r="X46" s="171">
        <v>-93</v>
      </c>
      <c r="Y46" s="171"/>
      <c r="Z46" s="171">
        <v>-57</v>
      </c>
      <c r="AA46" s="171">
        <v>-64</v>
      </c>
      <c r="AB46" s="171">
        <v>-63</v>
      </c>
      <c r="AC46" s="171">
        <v>-148</v>
      </c>
      <c r="AD46" s="171">
        <v>-94</v>
      </c>
      <c r="AE46" s="171">
        <v>-6</v>
      </c>
      <c r="AF46" s="171">
        <v>-69</v>
      </c>
      <c r="AG46" s="171">
        <v>-49</v>
      </c>
      <c r="AH46" s="171">
        <v>-545</v>
      </c>
      <c r="AI46" s="171">
        <v>-1301</v>
      </c>
      <c r="AJ46" s="171">
        <v>-61</v>
      </c>
      <c r="AK46" s="171">
        <v>-2493</v>
      </c>
      <c r="AL46" s="171">
        <v>-156</v>
      </c>
      <c r="AM46" s="171">
        <f t="shared" si="2"/>
        <v>-807</v>
      </c>
      <c r="AN46" s="444">
        <v>-322</v>
      </c>
      <c r="AP46" s="407"/>
    </row>
    <row r="47" spans="1:42" s="9" customFormat="1" ht="12">
      <c r="A47" s="6"/>
      <c r="B47" s="462"/>
      <c r="C47" s="6"/>
      <c r="D47" s="36" t="s">
        <v>72</v>
      </c>
      <c r="E47" s="171">
        <v>-179782</v>
      </c>
      <c r="F47" s="171">
        <v>-58983</v>
      </c>
      <c r="G47" s="171">
        <v>-52211</v>
      </c>
      <c r="H47" s="171">
        <v>-131971</v>
      </c>
      <c r="I47" s="171">
        <v>-79765</v>
      </c>
      <c r="J47" s="171"/>
      <c r="K47" s="171">
        <v>-62783</v>
      </c>
      <c r="L47" s="171">
        <v>-23568</v>
      </c>
      <c r="M47" s="171">
        <v>-11733</v>
      </c>
      <c r="N47" s="171">
        <v>-18043</v>
      </c>
      <c r="O47" s="171">
        <v>-28041</v>
      </c>
      <c r="P47" s="171">
        <v>-40752</v>
      </c>
      <c r="Q47" s="171">
        <v>-26625</v>
      </c>
      <c r="R47" s="171"/>
      <c r="S47" s="171">
        <v>-11744</v>
      </c>
      <c r="T47" s="171">
        <v>-40467</v>
      </c>
      <c r="U47" s="171">
        <v>-49118</v>
      </c>
      <c r="V47" s="171">
        <v>-82853</v>
      </c>
      <c r="W47" s="171">
        <v>-34478</v>
      </c>
      <c r="X47" s="171">
        <v>-45287</v>
      </c>
      <c r="Y47" s="171"/>
      <c r="Z47" s="171">
        <v>-17786</v>
      </c>
      <c r="AA47" s="171">
        <v>-44997</v>
      </c>
      <c r="AB47" s="171">
        <v>-13013</v>
      </c>
      <c r="AC47" s="171">
        <v>-10555</v>
      </c>
      <c r="AD47" s="171">
        <v>-4717</v>
      </c>
      <c r="AE47" s="171">
        <v>-7016</v>
      </c>
      <c r="AF47" s="171">
        <v>-4575</v>
      </c>
      <c r="AG47" s="171">
        <v>-13468</v>
      </c>
      <c r="AH47" s="171">
        <v>-7853</v>
      </c>
      <c r="AI47" s="171">
        <v>-20188</v>
      </c>
      <c r="AJ47" s="171">
        <v>-13505</v>
      </c>
      <c r="AK47" s="171">
        <v>-27247</v>
      </c>
      <c r="AL47" s="171">
        <v>-5660</v>
      </c>
      <c r="AM47" s="171">
        <f t="shared" si="2"/>
        <v>-20965</v>
      </c>
      <c r="AN47" s="171">
        <v>-11531</v>
      </c>
      <c r="AP47" s="407"/>
    </row>
    <row r="48" spans="1:42" s="9" customFormat="1" ht="12">
      <c r="A48" s="6"/>
      <c r="B48" s="462"/>
      <c r="C48" s="6"/>
      <c r="D48" s="36" t="s">
        <v>73</v>
      </c>
      <c r="E48" s="171">
        <v>5933</v>
      </c>
      <c r="F48" s="171">
        <v>2052</v>
      </c>
      <c r="G48" s="171">
        <v>987</v>
      </c>
      <c r="H48" s="171">
        <v>54</v>
      </c>
      <c r="I48" s="171">
        <v>2651</v>
      </c>
      <c r="J48" s="171"/>
      <c r="K48" s="171">
        <v>1029</v>
      </c>
      <c r="L48" s="171">
        <v>1743</v>
      </c>
      <c r="M48" s="171">
        <v>8708</v>
      </c>
      <c r="N48" s="171">
        <v>1021</v>
      </c>
      <c r="O48" s="171">
        <v>291</v>
      </c>
      <c r="P48" s="171">
        <v>463</v>
      </c>
      <c r="Q48" s="171">
        <v>490</v>
      </c>
      <c r="R48" s="171"/>
      <c r="S48" s="171">
        <v>242</v>
      </c>
      <c r="T48" s="171">
        <v>745</v>
      </c>
      <c r="U48" s="171">
        <v>25</v>
      </c>
      <c r="V48" s="171">
        <v>29</v>
      </c>
      <c r="W48" s="171">
        <v>2109</v>
      </c>
      <c r="X48" s="171">
        <v>542</v>
      </c>
      <c r="Y48" s="171"/>
      <c r="Z48" s="171">
        <v>156</v>
      </c>
      <c r="AA48" s="171">
        <v>873</v>
      </c>
      <c r="AB48" s="171">
        <v>379</v>
      </c>
      <c r="AC48" s="171">
        <v>1364</v>
      </c>
      <c r="AD48" s="171">
        <v>3449</v>
      </c>
      <c r="AE48" s="171">
        <v>5259</v>
      </c>
      <c r="AF48" s="171">
        <v>325</v>
      </c>
      <c r="AG48" s="171">
        <v>696</v>
      </c>
      <c r="AH48" s="171">
        <v>229</v>
      </c>
      <c r="AI48" s="171">
        <v>62</v>
      </c>
      <c r="AJ48" s="171">
        <v>115</v>
      </c>
      <c r="AK48" s="171">
        <v>348</v>
      </c>
      <c r="AL48" s="171">
        <v>180</v>
      </c>
      <c r="AM48" s="171">
        <f t="shared" si="2"/>
        <v>310</v>
      </c>
      <c r="AN48" s="171">
        <v>258</v>
      </c>
      <c r="AP48" s="407"/>
    </row>
    <row r="49" spans="1:77" s="9" customFormat="1" ht="12">
      <c r="A49" s="6"/>
      <c r="B49" s="462"/>
      <c r="C49" s="6"/>
      <c r="D49" s="36" t="s">
        <v>74</v>
      </c>
      <c r="E49" s="171">
        <v>-25507</v>
      </c>
      <c r="F49" s="171">
        <v>-242</v>
      </c>
      <c r="G49" s="171">
        <v>-769</v>
      </c>
      <c r="H49" s="171">
        <v>-1520</v>
      </c>
      <c r="I49" s="171">
        <v>-2758</v>
      </c>
      <c r="J49" s="171"/>
      <c r="K49" s="171">
        <v>-19620</v>
      </c>
      <c r="L49" s="171">
        <v>-12486</v>
      </c>
      <c r="M49" s="171">
        <v>-8690</v>
      </c>
      <c r="N49" s="171">
        <v>-9900</v>
      </c>
      <c r="O49" s="171">
        <v>-7500</v>
      </c>
      <c r="P49" s="171">
        <v>-1400</v>
      </c>
      <c r="Q49" s="171">
        <v>0</v>
      </c>
      <c r="R49" s="171"/>
      <c r="S49" s="171">
        <v>0</v>
      </c>
      <c r="T49" s="171">
        <v>-769</v>
      </c>
      <c r="U49" s="171">
        <v>-1213</v>
      </c>
      <c r="V49" s="171">
        <v>-307</v>
      </c>
      <c r="W49" s="171">
        <v>-958</v>
      </c>
      <c r="X49" s="171">
        <v>-1800</v>
      </c>
      <c r="Y49" s="171"/>
      <c r="Z49" s="171">
        <v>-15299</v>
      </c>
      <c r="AA49" s="171">
        <v>-4321</v>
      </c>
      <c r="AB49" s="171">
        <v>-6222</v>
      </c>
      <c r="AC49" s="171">
        <v>-6264</v>
      </c>
      <c r="AD49" s="171">
        <v>-3470</v>
      </c>
      <c r="AE49" s="171">
        <v>-5220</v>
      </c>
      <c r="AF49" s="171">
        <v>-6950</v>
      </c>
      <c r="AG49" s="171">
        <v>-2950</v>
      </c>
      <c r="AH49" s="171">
        <v>-7500</v>
      </c>
      <c r="AI49" s="171">
        <v>0</v>
      </c>
      <c r="AJ49" s="171">
        <v>-1400</v>
      </c>
      <c r="AK49" s="171">
        <v>0</v>
      </c>
      <c r="AL49" s="171">
        <v>0</v>
      </c>
      <c r="AM49" s="171">
        <f t="shared" si="2"/>
        <v>0</v>
      </c>
      <c r="AN49" s="171">
        <v>0</v>
      </c>
      <c r="AP49" s="407"/>
    </row>
    <row r="50" spans="1:77" s="9" customFormat="1" ht="12">
      <c r="A50" s="6"/>
      <c r="B50" s="462"/>
      <c r="C50" s="6"/>
      <c r="D50" s="36" t="s">
        <v>668</v>
      </c>
      <c r="E50" s="171">
        <v>-26795</v>
      </c>
      <c r="F50" s="171">
        <v>-211</v>
      </c>
      <c r="G50" s="171">
        <v>0</v>
      </c>
      <c r="H50" s="171">
        <v>-73</v>
      </c>
      <c r="I50" s="171">
        <v>-112</v>
      </c>
      <c r="J50" s="171"/>
      <c r="K50" s="171">
        <v>0</v>
      </c>
      <c r="L50" s="171">
        <v>0</v>
      </c>
      <c r="M50" s="171">
        <v>0</v>
      </c>
      <c r="N50" s="171">
        <v>0</v>
      </c>
      <c r="O50" s="171">
        <v>0</v>
      </c>
      <c r="P50" s="171">
        <v>0</v>
      </c>
      <c r="Q50" s="171">
        <v>0</v>
      </c>
      <c r="R50" s="171"/>
      <c r="S50" s="171">
        <v>0</v>
      </c>
      <c r="T50" s="171">
        <v>0</v>
      </c>
      <c r="U50" s="171">
        <v>-73</v>
      </c>
      <c r="V50" s="171">
        <v>0</v>
      </c>
      <c r="W50" s="171">
        <v>-112</v>
      </c>
      <c r="X50" s="171">
        <v>0</v>
      </c>
      <c r="Y50" s="171"/>
      <c r="Z50" s="171">
        <v>0</v>
      </c>
      <c r="AA50" s="171">
        <v>0</v>
      </c>
      <c r="AB50" s="171">
        <v>0</v>
      </c>
      <c r="AC50" s="171">
        <v>0</v>
      </c>
      <c r="AD50" s="171">
        <v>0</v>
      </c>
      <c r="AE50" s="171">
        <v>0</v>
      </c>
      <c r="AF50" s="171">
        <v>0</v>
      </c>
      <c r="AG50" s="171">
        <v>0</v>
      </c>
      <c r="AH50" s="171">
        <v>0</v>
      </c>
      <c r="AI50" s="171">
        <v>0</v>
      </c>
      <c r="AJ50" s="171">
        <v>0</v>
      </c>
      <c r="AK50" s="171">
        <v>0</v>
      </c>
      <c r="AL50" s="171">
        <v>0</v>
      </c>
      <c r="AM50" s="171">
        <f t="shared" si="2"/>
        <v>0</v>
      </c>
      <c r="AN50" s="171">
        <v>0</v>
      </c>
      <c r="AP50" s="407"/>
    </row>
    <row r="51" spans="1:77" s="9" customFormat="1" ht="12">
      <c r="A51" s="6"/>
      <c r="B51" s="462"/>
      <c r="C51" s="6"/>
      <c r="D51" s="36" t="s">
        <v>75</v>
      </c>
      <c r="E51" s="171">
        <v>2147</v>
      </c>
      <c r="F51" s="171">
        <v>14792</v>
      </c>
      <c r="G51" s="171">
        <v>0</v>
      </c>
      <c r="H51" s="171">
        <v>25750</v>
      </c>
      <c r="I51" s="171">
        <v>14106</v>
      </c>
      <c r="J51" s="171"/>
      <c r="K51" s="171">
        <v>1344</v>
      </c>
      <c r="L51" s="171">
        <v>504</v>
      </c>
      <c r="M51" s="171">
        <v>477</v>
      </c>
      <c r="N51" s="171">
        <v>444</v>
      </c>
      <c r="O51" s="171">
        <v>1183</v>
      </c>
      <c r="P51" s="171">
        <v>260</v>
      </c>
      <c r="Q51" s="171">
        <v>320</v>
      </c>
      <c r="R51" s="171"/>
      <c r="S51" s="171">
        <v>0</v>
      </c>
      <c r="T51" s="171">
        <v>0</v>
      </c>
      <c r="U51" s="171">
        <v>16684</v>
      </c>
      <c r="V51" s="171">
        <v>9066</v>
      </c>
      <c r="W51" s="171">
        <v>6017</v>
      </c>
      <c r="X51" s="171">
        <v>8089</v>
      </c>
      <c r="Y51" s="171"/>
      <c r="Z51" s="171">
        <v>871</v>
      </c>
      <c r="AA51" s="171">
        <v>473</v>
      </c>
      <c r="AB51" s="171">
        <v>730</v>
      </c>
      <c r="AC51" s="171">
        <v>-226</v>
      </c>
      <c r="AD51" s="171">
        <v>251</v>
      </c>
      <c r="AE51" s="171">
        <v>226</v>
      </c>
      <c r="AF51" s="171">
        <v>353</v>
      </c>
      <c r="AG51" s="171">
        <v>91</v>
      </c>
      <c r="AH51" s="171">
        <v>1044</v>
      </c>
      <c r="AI51" s="171">
        <v>139</v>
      </c>
      <c r="AJ51" s="171">
        <v>259</v>
      </c>
      <c r="AK51" s="171">
        <v>1</v>
      </c>
      <c r="AL51" s="171">
        <v>0</v>
      </c>
      <c r="AM51" s="171">
        <f t="shared" si="2"/>
        <v>320</v>
      </c>
      <c r="AN51" s="171">
        <v>0</v>
      </c>
      <c r="AP51" s="407"/>
    </row>
    <row r="52" spans="1:77" s="9" customFormat="1" ht="12">
      <c r="A52" s="6"/>
      <c r="B52" s="462"/>
      <c r="C52" s="6"/>
      <c r="D52" s="36" t="s">
        <v>669</v>
      </c>
      <c r="E52" s="171">
        <v>7576</v>
      </c>
      <c r="F52" s="171">
        <v>29078</v>
      </c>
      <c r="G52" s="171">
        <v>373</v>
      </c>
      <c r="H52" s="171">
        <v>73</v>
      </c>
      <c r="I52" s="171"/>
      <c r="J52" s="171"/>
      <c r="K52" s="171">
        <v>0</v>
      </c>
      <c r="L52" s="171">
        <v>0</v>
      </c>
      <c r="M52" s="171">
        <v>0</v>
      </c>
      <c r="N52" s="171">
        <v>0</v>
      </c>
      <c r="O52" s="171">
        <v>0</v>
      </c>
      <c r="P52" s="171">
        <v>0</v>
      </c>
      <c r="Q52" s="171">
        <v>0</v>
      </c>
      <c r="R52" s="171"/>
      <c r="S52" s="171">
        <v>0</v>
      </c>
      <c r="T52" s="171">
        <v>373</v>
      </c>
      <c r="U52" s="171">
        <v>0</v>
      </c>
      <c r="V52" s="171">
        <v>73</v>
      </c>
      <c r="W52" s="171">
        <v>0</v>
      </c>
      <c r="X52" s="171">
        <v>0</v>
      </c>
      <c r="Y52" s="171"/>
      <c r="Z52" s="171">
        <v>0</v>
      </c>
      <c r="AA52" s="171">
        <v>0</v>
      </c>
      <c r="AB52" s="171">
        <v>0</v>
      </c>
      <c r="AC52" s="171">
        <v>0</v>
      </c>
      <c r="AD52" s="171">
        <v>0</v>
      </c>
      <c r="AE52" s="171">
        <v>0</v>
      </c>
      <c r="AF52" s="171">
        <v>0</v>
      </c>
      <c r="AG52" s="171">
        <v>0</v>
      </c>
      <c r="AH52" s="171">
        <v>0</v>
      </c>
      <c r="AI52" s="171">
        <v>0</v>
      </c>
      <c r="AJ52" s="171">
        <v>0</v>
      </c>
      <c r="AK52" s="171">
        <v>0</v>
      </c>
      <c r="AL52" s="171">
        <v>0</v>
      </c>
      <c r="AM52" s="171">
        <f t="shared" si="2"/>
        <v>0</v>
      </c>
      <c r="AN52" s="171">
        <v>0</v>
      </c>
      <c r="AP52" s="407"/>
    </row>
    <row r="53" spans="1:77" s="219" customFormat="1" ht="12">
      <c r="A53" s="6"/>
      <c r="B53" s="462"/>
      <c r="C53" s="6"/>
      <c r="D53" s="36" t="s">
        <v>76</v>
      </c>
      <c r="E53" s="171">
        <v>5936</v>
      </c>
      <c r="F53" s="171">
        <v>2986</v>
      </c>
      <c r="G53" s="171">
        <v>545</v>
      </c>
      <c r="H53" s="171">
        <v>2239</v>
      </c>
      <c r="I53" s="171">
        <v>2351</v>
      </c>
      <c r="J53" s="171"/>
      <c r="K53" s="171">
        <v>1198</v>
      </c>
      <c r="L53" s="171">
        <v>1308</v>
      </c>
      <c r="M53" s="171">
        <v>1528</v>
      </c>
      <c r="N53" s="171">
        <v>983</v>
      </c>
      <c r="O53" s="171">
        <v>1274</v>
      </c>
      <c r="P53" s="171">
        <v>1619</v>
      </c>
      <c r="Q53" s="171">
        <v>1570</v>
      </c>
      <c r="R53" s="171"/>
      <c r="S53" s="171">
        <v>243</v>
      </c>
      <c r="T53" s="171">
        <v>302</v>
      </c>
      <c r="U53" s="171">
        <v>201</v>
      </c>
      <c r="V53" s="171">
        <v>2038</v>
      </c>
      <c r="W53" s="171">
        <v>932</v>
      </c>
      <c r="X53" s="171">
        <v>1419</v>
      </c>
      <c r="Y53" s="171"/>
      <c r="Z53" s="171">
        <v>441</v>
      </c>
      <c r="AA53" s="171">
        <v>757</v>
      </c>
      <c r="AB53" s="171">
        <v>632</v>
      </c>
      <c r="AC53" s="171">
        <v>676</v>
      </c>
      <c r="AD53" s="171">
        <v>877</v>
      </c>
      <c r="AE53" s="171">
        <v>651</v>
      </c>
      <c r="AF53" s="171">
        <v>435</v>
      </c>
      <c r="AG53" s="171">
        <v>548</v>
      </c>
      <c r="AH53" s="171">
        <v>554</v>
      </c>
      <c r="AI53" s="171">
        <v>720</v>
      </c>
      <c r="AJ53" s="171">
        <v>773</v>
      </c>
      <c r="AK53" s="171">
        <v>846</v>
      </c>
      <c r="AL53" s="171">
        <v>811</v>
      </c>
      <c r="AM53" s="171">
        <f t="shared" si="2"/>
        <v>759</v>
      </c>
      <c r="AN53" s="171">
        <v>495</v>
      </c>
      <c r="AO53" s="9"/>
      <c r="AP53" s="407"/>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row>
    <row r="54" spans="1:77" s="9" customFormat="1" ht="12">
      <c r="A54" s="6"/>
      <c r="B54" s="462"/>
      <c r="C54" s="6"/>
      <c r="D54" s="35" t="s">
        <v>658</v>
      </c>
      <c r="E54" s="170">
        <v>0</v>
      </c>
      <c r="F54" s="170">
        <v>0</v>
      </c>
      <c r="G54" s="170">
        <v>-19201</v>
      </c>
      <c r="H54" s="170">
        <v>-3884</v>
      </c>
      <c r="I54" s="170">
        <v>-13920</v>
      </c>
      <c r="J54" s="170"/>
      <c r="K54" s="170">
        <v>0</v>
      </c>
      <c r="L54" s="170">
        <v>0</v>
      </c>
      <c r="M54" s="170">
        <v>0</v>
      </c>
      <c r="N54" s="170">
        <v>0</v>
      </c>
      <c r="O54" s="170">
        <v>0</v>
      </c>
      <c r="P54" s="170">
        <v>0</v>
      </c>
      <c r="Q54" s="171">
        <v>0</v>
      </c>
      <c r="R54" s="170"/>
      <c r="S54" s="171">
        <v>0</v>
      </c>
      <c r="T54" s="170">
        <v>-19201</v>
      </c>
      <c r="U54" s="171">
        <v>0</v>
      </c>
      <c r="V54" s="170">
        <v>-3884</v>
      </c>
      <c r="W54" s="170">
        <v>-2405</v>
      </c>
      <c r="X54" s="170">
        <v>-11515</v>
      </c>
      <c r="Y54" s="170"/>
      <c r="Z54" s="171">
        <v>0</v>
      </c>
      <c r="AA54" s="170">
        <v>0</v>
      </c>
      <c r="AB54" s="170">
        <v>989</v>
      </c>
      <c r="AC54" s="170">
        <v>-989</v>
      </c>
      <c r="AD54" s="170">
        <v>100</v>
      </c>
      <c r="AE54" s="170">
        <v>-100</v>
      </c>
      <c r="AF54" s="171">
        <v>0</v>
      </c>
      <c r="AG54" s="170">
        <v>0</v>
      </c>
      <c r="AH54" s="171">
        <v>0</v>
      </c>
      <c r="AI54" s="170">
        <v>0</v>
      </c>
      <c r="AJ54" s="170">
        <v>0</v>
      </c>
      <c r="AK54" s="170">
        <v>0</v>
      </c>
      <c r="AL54" s="171"/>
      <c r="AM54" s="171">
        <f t="shared" si="2"/>
        <v>0</v>
      </c>
      <c r="AN54" s="171">
        <v>0</v>
      </c>
      <c r="AP54" s="407"/>
    </row>
    <row r="55" spans="1:77" s="9" customFormat="1" ht="12">
      <c r="A55" s="6"/>
      <c r="B55" s="462"/>
      <c r="C55" s="6"/>
      <c r="D55" s="36" t="s">
        <v>722</v>
      </c>
      <c r="E55" s="171">
        <v>0</v>
      </c>
      <c r="F55" s="171">
        <v>-4000</v>
      </c>
      <c r="G55" s="171">
        <v>4000</v>
      </c>
      <c r="H55" s="171">
        <v>19590</v>
      </c>
      <c r="I55" s="171">
        <v>3893</v>
      </c>
      <c r="J55" s="171"/>
      <c r="K55" s="171">
        <v>0</v>
      </c>
      <c r="L55" s="171">
        <v>989</v>
      </c>
      <c r="M55" s="171">
        <v>0</v>
      </c>
      <c r="N55" s="171">
        <v>0</v>
      </c>
      <c r="O55" s="171">
        <v>0</v>
      </c>
      <c r="P55" s="171">
        <v>0</v>
      </c>
      <c r="Q55" s="171">
        <v>0</v>
      </c>
      <c r="R55" s="171"/>
      <c r="S55" s="171">
        <v>4000</v>
      </c>
      <c r="T55" s="171">
        <v>0</v>
      </c>
      <c r="U55" s="171">
        <v>19590</v>
      </c>
      <c r="V55" s="171">
        <v>0</v>
      </c>
      <c r="W55" s="171">
        <v>3893</v>
      </c>
      <c r="X55" s="171">
        <v>0</v>
      </c>
      <c r="Y55" s="171"/>
      <c r="Z55" s="171">
        <v>0</v>
      </c>
      <c r="AA55" s="171">
        <v>0</v>
      </c>
      <c r="AB55" s="171">
        <v>0</v>
      </c>
      <c r="AC55" s="171">
        <v>989</v>
      </c>
      <c r="AD55" s="171">
        <v>0</v>
      </c>
      <c r="AE55" s="171">
        <v>0</v>
      </c>
      <c r="AF55" s="171">
        <v>0</v>
      </c>
      <c r="AG55" s="171">
        <v>0</v>
      </c>
      <c r="AH55" s="171">
        <v>0</v>
      </c>
      <c r="AI55" s="171">
        <v>0</v>
      </c>
      <c r="AJ55" s="171">
        <v>0</v>
      </c>
      <c r="AK55" s="171">
        <v>0</v>
      </c>
      <c r="AL55" s="171">
        <v>0</v>
      </c>
      <c r="AM55" s="171">
        <f t="shared" si="2"/>
        <v>0</v>
      </c>
      <c r="AN55" s="171">
        <v>0</v>
      </c>
      <c r="AP55" s="407"/>
    </row>
    <row r="56" spans="1:77" s="9" customFormat="1" ht="12">
      <c r="A56" s="6"/>
      <c r="B56" s="462"/>
      <c r="C56" s="6"/>
      <c r="D56" s="36" t="s">
        <v>666</v>
      </c>
      <c r="E56" s="171">
        <v>-97871</v>
      </c>
      <c r="F56" s="171">
        <v>0</v>
      </c>
      <c r="G56" s="171">
        <v>0</v>
      </c>
      <c r="H56" s="171">
        <v>0</v>
      </c>
      <c r="I56" s="171">
        <v>-230000</v>
      </c>
      <c r="J56" s="171"/>
      <c r="K56" s="171">
        <v>0</v>
      </c>
      <c r="L56" s="171">
        <v>-3</v>
      </c>
      <c r="M56" s="171">
        <v>0</v>
      </c>
      <c r="N56" s="171">
        <v>0</v>
      </c>
      <c r="O56" s="171">
        <v>0</v>
      </c>
      <c r="P56" s="171">
        <v>0</v>
      </c>
      <c r="Q56" s="171">
        <v>0</v>
      </c>
      <c r="R56" s="171"/>
      <c r="S56" s="171">
        <v>0</v>
      </c>
      <c r="T56" s="171">
        <v>0</v>
      </c>
      <c r="U56" s="171">
        <v>0</v>
      </c>
      <c r="V56" s="171">
        <v>0</v>
      </c>
      <c r="W56" s="171">
        <v>0</v>
      </c>
      <c r="X56" s="171">
        <v>-230000</v>
      </c>
      <c r="Y56" s="171"/>
      <c r="Z56" s="171">
        <v>0</v>
      </c>
      <c r="AA56" s="171">
        <v>0</v>
      </c>
      <c r="AB56" s="171">
        <v>0</v>
      </c>
      <c r="AC56" s="171">
        <v>-3</v>
      </c>
      <c r="AD56" s="171">
        <v>0</v>
      </c>
      <c r="AE56" s="171">
        <v>0</v>
      </c>
      <c r="AF56" s="171">
        <v>0</v>
      </c>
      <c r="AG56" s="171">
        <v>0</v>
      </c>
      <c r="AH56" s="171">
        <v>0</v>
      </c>
      <c r="AI56" s="171">
        <v>0</v>
      </c>
      <c r="AJ56" s="171">
        <v>0</v>
      </c>
      <c r="AK56" s="171">
        <v>0</v>
      </c>
      <c r="AL56" s="171">
        <v>0</v>
      </c>
      <c r="AM56" s="171">
        <f t="shared" si="2"/>
        <v>0</v>
      </c>
      <c r="AN56" s="171">
        <v>0</v>
      </c>
      <c r="AP56" s="407"/>
    </row>
    <row r="57" spans="1:77" s="9" customFormat="1" ht="12">
      <c r="A57" s="6"/>
      <c r="B57" s="462"/>
      <c r="C57" s="6"/>
      <c r="D57" s="36" t="s">
        <v>680</v>
      </c>
      <c r="E57" s="171">
        <v>1475</v>
      </c>
      <c r="F57" s="171">
        <v>0</v>
      </c>
      <c r="G57" s="171">
        <v>0</v>
      </c>
      <c r="H57" s="171">
        <v>0</v>
      </c>
      <c r="I57" s="171">
        <v>0</v>
      </c>
      <c r="J57" s="171"/>
      <c r="K57" s="171">
        <v>0</v>
      </c>
      <c r="L57" s="171">
        <v>0</v>
      </c>
      <c r="M57" s="171">
        <v>0</v>
      </c>
      <c r="N57" s="171">
        <v>0</v>
      </c>
      <c r="O57" s="171">
        <v>0</v>
      </c>
      <c r="P57" s="171">
        <v>0</v>
      </c>
      <c r="Q57" s="171">
        <v>0</v>
      </c>
      <c r="R57" s="171"/>
      <c r="S57" s="171">
        <v>0</v>
      </c>
      <c r="T57" s="171">
        <v>0</v>
      </c>
      <c r="U57" s="171">
        <v>0</v>
      </c>
      <c r="V57" s="171">
        <v>0</v>
      </c>
      <c r="W57" s="171">
        <v>0</v>
      </c>
      <c r="X57" s="171">
        <v>0</v>
      </c>
      <c r="Y57" s="171"/>
      <c r="Z57" s="171">
        <v>0</v>
      </c>
      <c r="AA57" s="171">
        <v>0</v>
      </c>
      <c r="AB57" s="171">
        <v>0</v>
      </c>
      <c r="AC57" s="171">
        <v>0</v>
      </c>
      <c r="AD57" s="171">
        <v>0</v>
      </c>
      <c r="AE57" s="171">
        <v>0</v>
      </c>
      <c r="AF57" s="171">
        <v>0</v>
      </c>
      <c r="AG57" s="171">
        <v>0</v>
      </c>
      <c r="AH57" s="171">
        <v>0</v>
      </c>
      <c r="AI57" s="171">
        <v>0</v>
      </c>
      <c r="AJ57" s="171">
        <v>0</v>
      </c>
      <c r="AK57" s="171">
        <v>0</v>
      </c>
      <c r="AL57" s="171">
        <v>0</v>
      </c>
      <c r="AM57" s="171">
        <f t="shared" si="2"/>
        <v>0</v>
      </c>
      <c r="AN57" s="171">
        <v>0</v>
      </c>
      <c r="AP57" s="407"/>
    </row>
    <row r="58" spans="1:77" s="9" customFormat="1" ht="12">
      <c r="A58" s="6"/>
      <c r="B58" s="462"/>
      <c r="C58" s="6"/>
      <c r="D58" s="36" t="s">
        <v>659</v>
      </c>
      <c r="E58" s="171">
        <v>0</v>
      </c>
      <c r="F58" s="171">
        <v>0</v>
      </c>
      <c r="G58" s="171">
        <v>0</v>
      </c>
      <c r="H58" s="171">
        <v>0</v>
      </c>
      <c r="I58" s="171">
        <v>0</v>
      </c>
      <c r="J58" s="171">
        <v>0</v>
      </c>
      <c r="K58" s="171">
        <v>0</v>
      </c>
      <c r="L58" s="171">
        <v>-61603</v>
      </c>
      <c r="M58" s="171">
        <v>0</v>
      </c>
      <c r="N58" s="171">
        <v>0</v>
      </c>
      <c r="O58" s="171">
        <v>0</v>
      </c>
      <c r="P58" s="171">
        <v>0</v>
      </c>
      <c r="Q58" s="171">
        <v>0</v>
      </c>
      <c r="R58" s="171"/>
      <c r="S58" s="171">
        <v>0</v>
      </c>
      <c r="T58" s="171">
        <v>0</v>
      </c>
      <c r="U58" s="171">
        <v>0</v>
      </c>
      <c r="V58" s="171">
        <v>0</v>
      </c>
      <c r="W58" s="171">
        <v>0</v>
      </c>
      <c r="X58" s="171">
        <v>0</v>
      </c>
      <c r="Y58" s="171"/>
      <c r="Z58" s="171">
        <v>0</v>
      </c>
      <c r="AA58" s="171">
        <v>0</v>
      </c>
      <c r="AB58" s="171">
        <v>-55706</v>
      </c>
      <c r="AC58" s="171">
        <v>-5897</v>
      </c>
      <c r="AD58" s="171">
        <v>0</v>
      </c>
      <c r="AE58" s="171">
        <v>0</v>
      </c>
      <c r="AF58" s="171">
        <v>0</v>
      </c>
      <c r="AG58" s="171">
        <v>0</v>
      </c>
      <c r="AH58" s="171">
        <v>0</v>
      </c>
      <c r="AI58" s="171">
        <v>0</v>
      </c>
      <c r="AJ58" s="171">
        <v>0</v>
      </c>
      <c r="AK58" s="171">
        <v>0</v>
      </c>
      <c r="AL58" s="171">
        <v>0</v>
      </c>
      <c r="AM58" s="171">
        <f t="shared" si="2"/>
        <v>0</v>
      </c>
      <c r="AN58" s="171">
        <v>0</v>
      </c>
      <c r="AP58" s="407"/>
    </row>
    <row r="59" spans="1:77" s="9" customFormat="1" ht="12">
      <c r="A59" s="6"/>
      <c r="B59" s="462"/>
      <c r="C59" s="6"/>
      <c r="D59" s="120" t="s">
        <v>77</v>
      </c>
      <c r="E59" s="323">
        <f>SUM(E39:E58)</f>
        <v>-676077</v>
      </c>
      <c r="F59" s="323">
        <f t="shared" ref="F59:AJ59" si="5">SUM(F39:F58)</f>
        <v>-15040</v>
      </c>
      <c r="G59" s="323">
        <f t="shared" si="5"/>
        <v>-66488</v>
      </c>
      <c r="H59" s="323">
        <f t="shared" si="5"/>
        <v>-110224</v>
      </c>
      <c r="I59" s="323">
        <f t="shared" si="5"/>
        <v>-303756</v>
      </c>
      <c r="J59" s="323">
        <f t="shared" si="5"/>
        <v>0</v>
      </c>
      <c r="K59" s="323">
        <f t="shared" si="5"/>
        <v>-256601</v>
      </c>
      <c r="L59" s="323">
        <f t="shared" si="5"/>
        <v>-93327</v>
      </c>
      <c r="M59" s="323">
        <f t="shared" si="5"/>
        <v>-9810</v>
      </c>
      <c r="N59" s="323">
        <f t="shared" si="5"/>
        <v>-25613</v>
      </c>
      <c r="O59" s="323">
        <f t="shared" si="5"/>
        <v>-34639</v>
      </c>
      <c r="P59" s="323">
        <f t="shared" si="5"/>
        <v>-13455</v>
      </c>
      <c r="Q59" s="323">
        <f t="shared" si="5"/>
        <v>-13366</v>
      </c>
      <c r="R59" s="323"/>
      <c r="S59" s="323">
        <f t="shared" si="5"/>
        <v>-7285</v>
      </c>
      <c r="T59" s="323">
        <f>G59-S59</f>
        <v>-59203</v>
      </c>
      <c r="U59" s="323">
        <f t="shared" si="5"/>
        <v>-34190</v>
      </c>
      <c r="V59" s="323">
        <f>H59-U59</f>
        <v>-76034</v>
      </c>
      <c r="W59" s="323">
        <f t="shared" si="5"/>
        <v>-25111</v>
      </c>
      <c r="X59" s="323">
        <f>I59-W59</f>
        <v>-278645</v>
      </c>
      <c r="Y59" s="323"/>
      <c r="Z59" s="323">
        <f t="shared" si="5"/>
        <v>-31674</v>
      </c>
      <c r="AA59" s="323">
        <f>K59-Z59</f>
        <v>-224927</v>
      </c>
      <c r="AB59" s="323">
        <f t="shared" si="5"/>
        <v>-72274</v>
      </c>
      <c r="AC59" s="323">
        <f>L59-AB59</f>
        <v>-21053</v>
      </c>
      <c r="AD59" s="323">
        <f t="shared" si="5"/>
        <v>-3604</v>
      </c>
      <c r="AE59" s="323">
        <f>M59-AD59</f>
        <v>-6206</v>
      </c>
      <c r="AF59" s="323">
        <f t="shared" si="5"/>
        <v>-10481</v>
      </c>
      <c r="AG59" s="323">
        <f>N59-AF59</f>
        <v>-15132</v>
      </c>
      <c r="AH59" s="323">
        <f t="shared" si="5"/>
        <v>-14071</v>
      </c>
      <c r="AI59" s="323">
        <f>O59-AH59</f>
        <v>-20568</v>
      </c>
      <c r="AJ59" s="323">
        <f t="shared" si="5"/>
        <v>-12957</v>
      </c>
      <c r="AK59" s="323">
        <f>P59-AJ59</f>
        <v>-498</v>
      </c>
      <c r="AL59" s="323">
        <f>SUM(AL38:AL58)</f>
        <v>7017</v>
      </c>
      <c r="AM59" s="323">
        <f t="shared" ref="AM59:AN59" si="6">SUM(AM38:AM58)</f>
        <v>-20383</v>
      </c>
      <c r="AN59" s="323">
        <f t="shared" si="6"/>
        <v>-11100</v>
      </c>
      <c r="AP59" s="407"/>
    </row>
    <row r="60" spans="1:77" s="9" customFormat="1" ht="12">
      <c r="A60" s="6"/>
      <c r="B60" s="34"/>
      <c r="C60" s="6"/>
      <c r="D60" s="36"/>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P60" s="407"/>
    </row>
    <row r="61" spans="1:77" s="9" customFormat="1" ht="12" customHeight="1">
      <c r="A61" s="6"/>
      <c r="B61" s="464" t="s">
        <v>560</v>
      </c>
      <c r="C61" s="6"/>
      <c r="D61" s="36" t="s">
        <v>78</v>
      </c>
      <c r="E61" s="171">
        <v>0</v>
      </c>
      <c r="F61" s="171">
        <v>0</v>
      </c>
      <c r="G61" s="171">
        <v>0</v>
      </c>
      <c r="H61" s="171">
        <v>0</v>
      </c>
      <c r="I61" s="171">
        <v>0</v>
      </c>
      <c r="J61" s="171"/>
      <c r="K61" s="171">
        <v>0</v>
      </c>
      <c r="L61" s="171">
        <v>0</v>
      </c>
      <c r="M61" s="171">
        <v>0</v>
      </c>
      <c r="N61" s="171">
        <v>0</v>
      </c>
      <c r="O61" s="171">
        <v>0</v>
      </c>
      <c r="P61" s="171">
        <v>0</v>
      </c>
      <c r="Q61" s="171">
        <v>0</v>
      </c>
      <c r="R61" s="171"/>
      <c r="S61" s="171">
        <v>0</v>
      </c>
      <c r="T61" s="171">
        <v>0</v>
      </c>
      <c r="U61" s="171">
        <v>0</v>
      </c>
      <c r="V61" s="171">
        <v>0</v>
      </c>
      <c r="W61" s="171">
        <v>0</v>
      </c>
      <c r="X61" s="171">
        <v>0</v>
      </c>
      <c r="Y61" s="171"/>
      <c r="Z61" s="171">
        <v>0</v>
      </c>
      <c r="AA61" s="171">
        <v>0</v>
      </c>
      <c r="AB61" s="171">
        <v>0</v>
      </c>
      <c r="AC61" s="171">
        <v>0</v>
      </c>
      <c r="AD61" s="171">
        <v>0</v>
      </c>
      <c r="AE61" s="171">
        <v>0</v>
      </c>
      <c r="AF61" s="171">
        <v>0</v>
      </c>
      <c r="AG61" s="171">
        <v>0</v>
      </c>
      <c r="AH61" s="171">
        <v>0</v>
      </c>
      <c r="AI61" s="171">
        <v>0</v>
      </c>
      <c r="AJ61" s="171">
        <v>0</v>
      </c>
      <c r="AK61" s="171">
        <v>0</v>
      </c>
      <c r="AL61" s="171">
        <v>0</v>
      </c>
      <c r="AM61" s="171">
        <f t="shared" si="2"/>
        <v>0</v>
      </c>
      <c r="AN61" s="171">
        <v>0</v>
      </c>
      <c r="AP61" s="407"/>
    </row>
    <row r="62" spans="1:77" s="9" customFormat="1" ht="12">
      <c r="A62" s="6"/>
      <c r="B62" s="464"/>
      <c r="C62" s="6"/>
      <c r="D62" s="36" t="s">
        <v>79</v>
      </c>
      <c r="E62" s="171">
        <v>275038</v>
      </c>
      <c r="F62" s="171">
        <v>116209</v>
      </c>
      <c r="G62" s="171">
        <v>57452</v>
      </c>
      <c r="H62" s="171">
        <v>72114</v>
      </c>
      <c r="I62" s="171">
        <v>330126</v>
      </c>
      <c r="J62" s="171"/>
      <c r="K62" s="171">
        <v>282997</v>
      </c>
      <c r="L62" s="171">
        <v>367308</v>
      </c>
      <c r="M62" s="171">
        <v>285061</v>
      </c>
      <c r="N62" s="171">
        <v>829308</v>
      </c>
      <c r="O62" s="171">
        <v>0</v>
      </c>
      <c r="P62" s="171">
        <v>100</v>
      </c>
      <c r="Q62" s="171">
        <v>70893</v>
      </c>
      <c r="R62" s="171"/>
      <c r="S62" s="171">
        <v>14360</v>
      </c>
      <c r="T62" s="171">
        <v>43092</v>
      </c>
      <c r="U62" s="171">
        <v>42270</v>
      </c>
      <c r="V62" s="171">
        <v>29844</v>
      </c>
      <c r="W62" s="171">
        <v>48386</v>
      </c>
      <c r="X62" s="171">
        <v>281740</v>
      </c>
      <c r="Y62" s="171"/>
      <c r="Z62" s="171">
        <v>38494</v>
      </c>
      <c r="AA62" s="171">
        <v>244503</v>
      </c>
      <c r="AB62" s="171">
        <v>366932</v>
      </c>
      <c r="AC62" s="171">
        <v>376</v>
      </c>
      <c r="AD62" s="171">
        <v>0</v>
      </c>
      <c r="AE62" s="171">
        <v>285061</v>
      </c>
      <c r="AF62" s="171">
        <v>485934</v>
      </c>
      <c r="AG62" s="171">
        <v>343374</v>
      </c>
      <c r="AH62" s="171">
        <v>0</v>
      </c>
      <c r="AI62" s="171">
        <v>0</v>
      </c>
      <c r="AJ62" s="171"/>
      <c r="AK62" s="171">
        <v>100</v>
      </c>
      <c r="AL62" s="171">
        <v>50</v>
      </c>
      <c r="AM62" s="171">
        <f t="shared" si="2"/>
        <v>70843</v>
      </c>
      <c r="AN62" s="171">
        <v>4451</v>
      </c>
      <c r="AP62" s="407"/>
    </row>
    <row r="63" spans="1:77" s="9" customFormat="1" ht="12">
      <c r="A63" s="6"/>
      <c r="B63" s="464"/>
      <c r="C63" s="6"/>
      <c r="D63" s="36" t="s">
        <v>80</v>
      </c>
      <c r="E63" s="171">
        <v>-170300</v>
      </c>
      <c r="F63" s="171">
        <v>-228819</v>
      </c>
      <c r="G63" s="171">
        <v>-90790</v>
      </c>
      <c r="H63" s="171">
        <v>-106838</v>
      </c>
      <c r="I63" s="171">
        <v>-214943</v>
      </c>
      <c r="J63" s="171"/>
      <c r="K63" s="171">
        <v>-54728</v>
      </c>
      <c r="L63" s="171">
        <v>-460812</v>
      </c>
      <c r="M63" s="171">
        <v>-398624</v>
      </c>
      <c r="N63" s="171">
        <v>-943030</v>
      </c>
      <c r="O63" s="171">
        <v>-57533</v>
      </c>
      <c r="P63" s="171">
        <v>-155567</v>
      </c>
      <c r="Q63" s="171">
        <v>-131382</v>
      </c>
      <c r="R63" s="171"/>
      <c r="S63" s="171">
        <v>-26846</v>
      </c>
      <c r="T63" s="171">
        <v>-63944</v>
      </c>
      <c r="U63" s="171">
        <v>-70707</v>
      </c>
      <c r="V63" s="171">
        <v>-36131</v>
      </c>
      <c r="W63" s="171">
        <v>-19802</v>
      </c>
      <c r="X63" s="171">
        <v>-195141</v>
      </c>
      <c r="Y63" s="171"/>
      <c r="Z63" s="171">
        <v>-20922</v>
      </c>
      <c r="AA63" s="171">
        <v>-33806</v>
      </c>
      <c r="AB63" s="171">
        <v>-369548</v>
      </c>
      <c r="AC63" s="171">
        <v>-91264</v>
      </c>
      <c r="AD63" s="171">
        <v>-52178</v>
      </c>
      <c r="AE63" s="171">
        <v>-346446</v>
      </c>
      <c r="AF63" s="171">
        <v>-538007</v>
      </c>
      <c r="AG63" s="171">
        <v>-405023</v>
      </c>
      <c r="AH63" s="171">
        <v>-31658</v>
      </c>
      <c r="AI63" s="171">
        <v>-25875</v>
      </c>
      <c r="AJ63" s="171">
        <v>-43000</v>
      </c>
      <c r="AK63" s="171">
        <v>-112567</v>
      </c>
      <c r="AL63" s="171">
        <v>-2000</v>
      </c>
      <c r="AM63" s="171">
        <f t="shared" si="2"/>
        <v>-129382</v>
      </c>
      <c r="AN63" s="171">
        <v>-11042</v>
      </c>
      <c r="AP63" s="407"/>
    </row>
    <row r="64" spans="1:77" s="9" customFormat="1" ht="12">
      <c r="A64" s="6"/>
      <c r="B64" s="464"/>
      <c r="C64" s="6"/>
      <c r="D64" s="36" t="s">
        <v>81</v>
      </c>
      <c r="E64" s="171">
        <v>-10132</v>
      </c>
      <c r="F64" s="171">
        <v>-21786</v>
      </c>
      <c r="G64" s="171">
        <v>-10912</v>
      </c>
      <c r="H64" s="171">
        <v>-16967</v>
      </c>
      <c r="I64" s="171">
        <v>-12335</v>
      </c>
      <c r="J64" s="171"/>
      <c r="K64" s="171">
        <v>-14962</v>
      </c>
      <c r="L64" s="171">
        <v>-92151</v>
      </c>
      <c r="M64" s="171">
        <v>-74406</v>
      </c>
      <c r="N64" s="171">
        <v>-70259</v>
      </c>
      <c r="O64" s="171">
        <v>-89094</v>
      </c>
      <c r="P64" s="171">
        <v>-82994</v>
      </c>
      <c r="Q64" s="171">
        <v>-78678</v>
      </c>
      <c r="R64" s="171"/>
      <c r="S64" s="171">
        <v>-6041</v>
      </c>
      <c r="T64" s="171">
        <v>-4871</v>
      </c>
      <c r="U64" s="171">
        <v>-10462</v>
      </c>
      <c r="V64" s="171">
        <v>-6505</v>
      </c>
      <c r="W64" s="171">
        <v>-5652</v>
      </c>
      <c r="X64" s="171">
        <v>-6683</v>
      </c>
      <c r="Y64" s="171"/>
      <c r="Z64" s="171">
        <v>-7931</v>
      </c>
      <c r="AA64" s="171">
        <v>-7031</v>
      </c>
      <c r="AB64" s="171">
        <v>-55610</v>
      </c>
      <c r="AC64" s="171">
        <v>-36541</v>
      </c>
      <c r="AD64" s="171">
        <v>-35929</v>
      </c>
      <c r="AE64" s="171">
        <v>-38477</v>
      </c>
      <c r="AF64" s="171">
        <v>-33494</v>
      </c>
      <c r="AG64" s="171">
        <v>-36765</v>
      </c>
      <c r="AH64" s="171">
        <v>-45179</v>
      </c>
      <c r="AI64" s="171">
        <v>-43915</v>
      </c>
      <c r="AJ64" s="171">
        <v>-43139</v>
      </c>
      <c r="AK64" s="171">
        <v>-39855</v>
      </c>
      <c r="AL64" s="171">
        <v>-38106</v>
      </c>
      <c r="AM64" s="171">
        <f>Q64-AL64</f>
        <v>-40572</v>
      </c>
      <c r="AN64" s="171">
        <v>-35801</v>
      </c>
      <c r="AP64" s="407"/>
    </row>
    <row r="65" spans="1:42" s="9" customFormat="1" ht="12">
      <c r="A65" s="6"/>
      <c r="B65" s="464"/>
      <c r="C65" s="6"/>
      <c r="D65" s="36" t="s">
        <v>82</v>
      </c>
      <c r="E65" s="171">
        <v>0</v>
      </c>
      <c r="F65" s="171">
        <v>0</v>
      </c>
      <c r="G65" s="171">
        <v>0</v>
      </c>
      <c r="H65" s="171">
        <v>0</v>
      </c>
      <c r="I65" s="171">
        <v>0</v>
      </c>
      <c r="J65" s="171"/>
      <c r="K65" s="171">
        <v>0</v>
      </c>
      <c r="L65" s="171">
        <v>0</v>
      </c>
      <c r="M65" s="171">
        <v>0</v>
      </c>
      <c r="N65" s="171">
        <v>11372</v>
      </c>
      <c r="O65" s="171">
        <v>20254</v>
      </c>
      <c r="P65" s="171">
        <v>43064</v>
      </c>
      <c r="Q65" s="171">
        <v>-211</v>
      </c>
      <c r="R65" s="171"/>
      <c r="S65" s="171">
        <v>0</v>
      </c>
      <c r="T65" s="171">
        <v>0</v>
      </c>
      <c r="U65" s="171">
        <v>0</v>
      </c>
      <c r="V65" s="171">
        <v>0</v>
      </c>
      <c r="W65" s="171">
        <v>0</v>
      </c>
      <c r="X65" s="171">
        <v>0</v>
      </c>
      <c r="Y65" s="171"/>
      <c r="Z65" s="171">
        <v>0</v>
      </c>
      <c r="AA65" s="171">
        <v>0</v>
      </c>
      <c r="AB65" s="171">
        <v>0</v>
      </c>
      <c r="AC65" s="171">
        <v>0</v>
      </c>
      <c r="AD65" s="171">
        <v>0</v>
      </c>
      <c r="AE65" s="171">
        <v>0</v>
      </c>
      <c r="AF65" s="171">
        <v>2667</v>
      </c>
      <c r="AG65" s="171">
        <v>8705</v>
      </c>
      <c r="AH65" s="171">
        <v>10302</v>
      </c>
      <c r="AI65" s="171">
        <v>9952</v>
      </c>
      <c r="AJ65" s="171">
        <v>9900</v>
      </c>
      <c r="AK65" s="171">
        <v>33164</v>
      </c>
      <c r="AL65" s="171">
        <v>36</v>
      </c>
      <c r="AM65" s="171">
        <f t="shared" si="2"/>
        <v>-247</v>
      </c>
      <c r="AN65" s="171">
        <v>-209</v>
      </c>
      <c r="AP65" s="407"/>
    </row>
    <row r="66" spans="1:42" s="9" customFormat="1" ht="12">
      <c r="A66" s="6"/>
      <c r="B66" s="464"/>
      <c r="C66" s="6"/>
      <c r="D66" s="36" t="s">
        <v>670</v>
      </c>
      <c r="E66" s="171">
        <v>0</v>
      </c>
      <c r="F66" s="171">
        <v>0</v>
      </c>
      <c r="G66" s="171">
        <v>0</v>
      </c>
      <c r="H66" s="171">
        <v>0</v>
      </c>
      <c r="I66" s="322">
        <v>0</v>
      </c>
      <c r="J66" s="322"/>
      <c r="K66" s="171">
        <v>-1461</v>
      </c>
      <c r="L66" s="171">
        <v>0</v>
      </c>
      <c r="M66" s="171">
        <v>0</v>
      </c>
      <c r="N66" s="171">
        <v>0</v>
      </c>
      <c r="O66" s="171">
        <v>0</v>
      </c>
      <c r="P66" s="171">
        <v>0</v>
      </c>
      <c r="Q66" s="171">
        <v>0</v>
      </c>
      <c r="R66" s="171"/>
      <c r="S66" s="171">
        <v>0</v>
      </c>
      <c r="T66" s="171">
        <v>0</v>
      </c>
      <c r="U66" s="171">
        <v>0</v>
      </c>
      <c r="V66" s="171">
        <v>0</v>
      </c>
      <c r="W66" s="171">
        <v>0</v>
      </c>
      <c r="X66" s="171">
        <v>0</v>
      </c>
      <c r="Y66" s="171"/>
      <c r="Z66" s="171">
        <v>0</v>
      </c>
      <c r="AA66" s="171">
        <v>-1461</v>
      </c>
      <c r="AB66" s="171">
        <v>0</v>
      </c>
      <c r="AC66" s="171">
        <v>0</v>
      </c>
      <c r="AD66" s="171">
        <v>0</v>
      </c>
      <c r="AE66" s="171">
        <v>0</v>
      </c>
      <c r="AF66" s="171">
        <v>0</v>
      </c>
      <c r="AG66" s="171">
        <v>0</v>
      </c>
      <c r="AH66" s="171">
        <v>0</v>
      </c>
      <c r="AI66" s="171">
        <v>0</v>
      </c>
      <c r="AJ66" s="171">
        <v>0</v>
      </c>
      <c r="AK66" s="171">
        <v>0</v>
      </c>
      <c r="AL66" s="171">
        <v>0</v>
      </c>
      <c r="AM66" s="171">
        <f t="shared" si="2"/>
        <v>0</v>
      </c>
      <c r="AN66" s="171">
        <v>0</v>
      </c>
      <c r="AP66" s="407"/>
    </row>
    <row r="67" spans="1:42" s="9" customFormat="1" ht="12">
      <c r="A67" s="6"/>
      <c r="B67" s="464"/>
      <c r="C67" s="6"/>
      <c r="D67" s="36" t="s">
        <v>83</v>
      </c>
      <c r="E67" s="171">
        <v>-15266</v>
      </c>
      <c r="F67" s="171">
        <v>-14345</v>
      </c>
      <c r="G67" s="171">
        <v>-8593</v>
      </c>
      <c r="H67" s="171">
        <v>-6320</v>
      </c>
      <c r="I67" s="171">
        <v>-7068</v>
      </c>
      <c r="J67" s="171"/>
      <c r="K67" s="171">
        <v>-17976</v>
      </c>
      <c r="L67" s="171">
        <v>-12288</v>
      </c>
      <c r="M67" s="171">
        <v>-4426</v>
      </c>
      <c r="N67" s="171">
        <v>-2514</v>
      </c>
      <c r="O67" s="171">
        <v>-2741</v>
      </c>
      <c r="P67" s="171">
        <v>-774</v>
      </c>
      <c r="Q67" s="171">
        <v>-871</v>
      </c>
      <c r="R67" s="171"/>
      <c r="S67" s="171">
        <v>-5113</v>
      </c>
      <c r="T67" s="171">
        <v>-3480</v>
      </c>
      <c r="U67" s="171">
        <v>-3025</v>
      </c>
      <c r="V67" s="171">
        <v>-3295</v>
      </c>
      <c r="W67" s="171">
        <v>-2912</v>
      </c>
      <c r="X67" s="171">
        <v>-4156</v>
      </c>
      <c r="Y67" s="171"/>
      <c r="Z67" s="171">
        <v>-11753</v>
      </c>
      <c r="AA67" s="171">
        <v>-6223</v>
      </c>
      <c r="AB67" s="171">
        <v>-7452</v>
      </c>
      <c r="AC67" s="171">
        <v>-4836</v>
      </c>
      <c r="AD67" s="171">
        <v>-3169</v>
      </c>
      <c r="AE67" s="171">
        <v>-1257</v>
      </c>
      <c r="AF67" s="171">
        <v>-1257</v>
      </c>
      <c r="AG67" s="171">
        <v>-1257</v>
      </c>
      <c r="AH67" s="171">
        <v>-1268</v>
      </c>
      <c r="AI67" s="171">
        <v>-1473</v>
      </c>
      <c r="AJ67" s="171">
        <v>-818</v>
      </c>
      <c r="AK67" s="171">
        <v>44</v>
      </c>
      <c r="AL67" s="171">
        <v>-422</v>
      </c>
      <c r="AM67" s="171">
        <f t="shared" si="2"/>
        <v>-449</v>
      </c>
      <c r="AN67" s="171">
        <v>-721</v>
      </c>
      <c r="AP67" s="407"/>
    </row>
    <row r="68" spans="1:42" s="9" customFormat="1" ht="12">
      <c r="A68" s="6"/>
      <c r="B68" s="464"/>
      <c r="C68" s="6"/>
      <c r="D68" s="36" t="s">
        <v>660</v>
      </c>
      <c r="E68" s="171">
        <v>0</v>
      </c>
      <c r="F68" s="171">
        <v>0</v>
      </c>
      <c r="G68" s="171">
        <v>0</v>
      </c>
      <c r="H68" s="171">
        <v>0</v>
      </c>
      <c r="I68" s="171">
        <v>0</v>
      </c>
      <c r="J68" s="171"/>
      <c r="K68" s="171">
        <v>0</v>
      </c>
      <c r="L68" s="171">
        <v>12827</v>
      </c>
      <c r="M68" s="171">
        <v>0</v>
      </c>
      <c r="N68" s="171">
        <v>0</v>
      </c>
      <c r="O68" s="171">
        <v>0</v>
      </c>
      <c r="P68" s="171">
        <v>0</v>
      </c>
      <c r="Q68" s="171">
        <v>0</v>
      </c>
      <c r="R68" s="171"/>
      <c r="S68" s="171">
        <v>0</v>
      </c>
      <c r="T68" s="171">
        <v>0</v>
      </c>
      <c r="U68" s="171">
        <v>0</v>
      </c>
      <c r="V68" s="171">
        <v>0</v>
      </c>
      <c r="W68" s="171">
        <v>0</v>
      </c>
      <c r="X68" s="171">
        <v>0</v>
      </c>
      <c r="Y68" s="171"/>
      <c r="Z68" s="171">
        <v>0</v>
      </c>
      <c r="AA68" s="171">
        <v>0</v>
      </c>
      <c r="AB68" s="171">
        <v>12215</v>
      </c>
      <c r="AC68" s="171">
        <v>612</v>
      </c>
      <c r="AD68" s="171">
        <v>0</v>
      </c>
      <c r="AE68" s="171">
        <v>0</v>
      </c>
      <c r="AF68" s="171">
        <v>0</v>
      </c>
      <c r="AG68" s="171">
        <v>0</v>
      </c>
      <c r="AH68" s="171">
        <v>0</v>
      </c>
      <c r="AI68" s="171">
        <v>0</v>
      </c>
      <c r="AJ68" s="171">
        <v>0</v>
      </c>
      <c r="AK68" s="171">
        <v>0</v>
      </c>
      <c r="AL68" s="171">
        <v>0</v>
      </c>
      <c r="AM68" s="171">
        <f t="shared" si="2"/>
        <v>0</v>
      </c>
      <c r="AN68" s="171">
        <v>0</v>
      </c>
      <c r="AP68" s="407"/>
    </row>
    <row r="69" spans="1:42" s="9" customFormat="1" ht="12">
      <c r="A69" s="6"/>
      <c r="B69" s="464"/>
      <c r="C69" s="6"/>
      <c r="D69" s="36" t="s">
        <v>672</v>
      </c>
      <c r="E69" s="171">
        <v>404920</v>
      </c>
      <c r="F69" s="171">
        <v>0</v>
      </c>
      <c r="G69" s="171">
        <v>0</v>
      </c>
      <c r="H69" s="171">
        <v>96593</v>
      </c>
      <c r="I69" s="171">
        <v>0</v>
      </c>
      <c r="J69" s="171"/>
      <c r="K69" s="171">
        <v>0</v>
      </c>
      <c r="L69" s="171">
        <v>0</v>
      </c>
      <c r="M69" s="171">
        <v>0</v>
      </c>
      <c r="N69" s="171">
        <v>0</v>
      </c>
      <c r="O69" s="171">
        <v>0</v>
      </c>
      <c r="P69" s="171">
        <v>0</v>
      </c>
      <c r="Q69" s="171">
        <v>0</v>
      </c>
      <c r="R69" s="171"/>
      <c r="S69" s="171">
        <v>0</v>
      </c>
      <c r="T69" s="171">
        <v>0</v>
      </c>
      <c r="U69" s="171">
        <v>96593</v>
      </c>
      <c r="V69" s="171">
        <v>0</v>
      </c>
      <c r="W69" s="171">
        <v>0</v>
      </c>
      <c r="X69" s="171">
        <v>0</v>
      </c>
      <c r="Y69" s="171"/>
      <c r="Z69" s="171">
        <v>0</v>
      </c>
      <c r="AA69" s="171">
        <v>0</v>
      </c>
      <c r="AB69" s="171">
        <v>0</v>
      </c>
      <c r="AC69" s="171">
        <v>0</v>
      </c>
      <c r="AD69" s="171">
        <v>0</v>
      </c>
      <c r="AE69" s="171">
        <v>0</v>
      </c>
      <c r="AF69" s="171">
        <v>0</v>
      </c>
      <c r="AG69" s="171">
        <v>0</v>
      </c>
      <c r="AH69" s="171">
        <v>0</v>
      </c>
      <c r="AI69" s="171">
        <v>0</v>
      </c>
      <c r="AJ69" s="171">
        <v>0</v>
      </c>
      <c r="AK69" s="171">
        <v>0</v>
      </c>
      <c r="AL69" s="171">
        <v>0</v>
      </c>
      <c r="AM69" s="171">
        <f t="shared" si="2"/>
        <v>0</v>
      </c>
      <c r="AN69" s="171">
        <v>0</v>
      </c>
      <c r="AP69" s="407"/>
    </row>
    <row r="70" spans="1:42" s="9" customFormat="1" ht="12">
      <c r="A70" s="6"/>
      <c r="B70" s="464"/>
      <c r="C70" s="6"/>
      <c r="D70" s="36" t="s">
        <v>661</v>
      </c>
      <c r="E70" s="171">
        <v>-33085</v>
      </c>
      <c r="F70" s="171">
        <v>-20000</v>
      </c>
      <c r="G70" s="171">
        <v>-40000</v>
      </c>
      <c r="H70" s="171">
        <v>-53200</v>
      </c>
      <c r="I70" s="171">
        <v>-79900</v>
      </c>
      <c r="J70" s="171"/>
      <c r="K70" s="171">
        <v>-150400</v>
      </c>
      <c r="L70" s="171">
        <v>-48490</v>
      </c>
      <c r="M70" s="171">
        <v>0</v>
      </c>
      <c r="N70" s="171">
        <v>0</v>
      </c>
      <c r="O70" s="171">
        <v>0</v>
      </c>
      <c r="P70" s="171">
        <v>0</v>
      </c>
      <c r="Q70" s="171">
        <v>0</v>
      </c>
      <c r="R70" s="171"/>
      <c r="S70" s="171">
        <v>-15000</v>
      </c>
      <c r="T70" s="171">
        <v>-25000</v>
      </c>
      <c r="U70" s="171">
        <v>-25000</v>
      </c>
      <c r="V70" s="171">
        <v>-28200</v>
      </c>
      <c r="W70" s="171">
        <v>-32900</v>
      </c>
      <c r="X70" s="171">
        <v>-47000</v>
      </c>
      <c r="Y70" s="171"/>
      <c r="Z70" s="171">
        <v>-117500</v>
      </c>
      <c r="AA70" s="171">
        <v>-32900</v>
      </c>
      <c r="AB70" s="171">
        <v>-25563</v>
      </c>
      <c r="AC70" s="171">
        <v>-22927</v>
      </c>
      <c r="AD70" s="171">
        <v>0</v>
      </c>
      <c r="AE70" s="171">
        <v>0</v>
      </c>
      <c r="AF70" s="171">
        <v>0</v>
      </c>
      <c r="AG70" s="171">
        <v>0</v>
      </c>
      <c r="AH70" s="171">
        <v>0</v>
      </c>
      <c r="AI70" s="171">
        <v>0</v>
      </c>
      <c r="AJ70" s="171">
        <v>0</v>
      </c>
      <c r="AK70" s="171">
        <v>0</v>
      </c>
      <c r="AL70" s="171">
        <v>0</v>
      </c>
      <c r="AM70" s="171">
        <f t="shared" si="2"/>
        <v>0</v>
      </c>
      <c r="AN70" s="171">
        <v>0</v>
      </c>
      <c r="AP70" s="407"/>
    </row>
    <row r="71" spans="1:42" s="9" customFormat="1" ht="12">
      <c r="A71" s="6"/>
      <c r="B71" s="464"/>
      <c r="C71" s="6"/>
      <c r="D71" s="36" t="s">
        <v>84</v>
      </c>
      <c r="E71" s="171">
        <v>-17925</v>
      </c>
      <c r="F71" s="171">
        <v>-4000</v>
      </c>
      <c r="G71" s="171">
        <v>-11380</v>
      </c>
      <c r="H71" s="171">
        <v>-11150</v>
      </c>
      <c r="I71" s="171">
        <v>-14925</v>
      </c>
      <c r="J71" s="171"/>
      <c r="K71" s="171">
        <v>0</v>
      </c>
      <c r="L71" s="171">
        <v>0</v>
      </c>
      <c r="M71" s="171">
        <v>0</v>
      </c>
      <c r="N71" s="171">
        <v>-732</v>
      </c>
      <c r="O71" s="171">
        <v>0</v>
      </c>
      <c r="P71" s="171">
        <v>0</v>
      </c>
      <c r="Q71" s="171">
        <v>0</v>
      </c>
      <c r="R71" s="171"/>
      <c r="S71" s="171">
        <v>-3650</v>
      </c>
      <c r="T71" s="171">
        <v>-7730</v>
      </c>
      <c r="U71" s="171">
        <v>-5000</v>
      </c>
      <c r="V71" s="171">
        <v>-6150</v>
      </c>
      <c r="W71" s="171">
        <v>-9475</v>
      </c>
      <c r="X71" s="171">
        <v>-5450</v>
      </c>
      <c r="Y71" s="171"/>
      <c r="Z71" s="171">
        <v>0</v>
      </c>
      <c r="AA71" s="171">
        <v>0</v>
      </c>
      <c r="AB71" s="171">
        <v>0</v>
      </c>
      <c r="AC71" s="171">
        <v>0</v>
      </c>
      <c r="AD71" s="171">
        <v>0</v>
      </c>
      <c r="AE71" s="171">
        <v>0</v>
      </c>
      <c r="AF71" s="171">
        <v>0</v>
      </c>
      <c r="AG71" s="171">
        <v>-732</v>
      </c>
      <c r="AH71" s="171">
        <v>0</v>
      </c>
      <c r="AI71" s="171">
        <v>0</v>
      </c>
      <c r="AJ71" s="171">
        <v>0</v>
      </c>
      <c r="AK71" s="171">
        <v>0</v>
      </c>
      <c r="AL71" s="171">
        <v>0</v>
      </c>
      <c r="AM71" s="171">
        <f t="shared" si="2"/>
        <v>0</v>
      </c>
      <c r="AN71" s="171">
        <v>0</v>
      </c>
      <c r="AP71" s="407"/>
    </row>
    <row r="72" spans="1:42" s="9" customFormat="1" ht="12">
      <c r="A72" s="6"/>
      <c r="B72" s="464"/>
      <c r="C72" s="6"/>
      <c r="D72" s="36" t="s">
        <v>673</v>
      </c>
      <c r="E72" s="171">
        <v>8300</v>
      </c>
      <c r="F72" s="171">
        <v>0</v>
      </c>
      <c r="G72" s="171">
        <v>0</v>
      </c>
      <c r="H72" s="171">
        <v>0</v>
      </c>
      <c r="I72" s="171">
        <v>0</v>
      </c>
      <c r="J72" s="171">
        <v>0</v>
      </c>
      <c r="K72" s="171">
        <v>0</v>
      </c>
      <c r="L72" s="171">
        <v>0</v>
      </c>
      <c r="M72" s="171">
        <v>0</v>
      </c>
      <c r="N72" s="171">
        <v>0</v>
      </c>
      <c r="O72" s="171">
        <v>0</v>
      </c>
      <c r="P72" s="171">
        <v>0</v>
      </c>
      <c r="Q72" s="171">
        <v>0</v>
      </c>
      <c r="R72" s="171"/>
      <c r="S72" s="171">
        <v>0</v>
      </c>
      <c r="T72" s="171">
        <v>0</v>
      </c>
      <c r="U72" s="171">
        <v>0</v>
      </c>
      <c r="V72" s="171">
        <v>0</v>
      </c>
      <c r="W72" s="171">
        <v>0</v>
      </c>
      <c r="X72" s="171">
        <v>0</v>
      </c>
      <c r="Y72" s="171"/>
      <c r="Z72" s="171">
        <v>0</v>
      </c>
      <c r="AA72" s="171">
        <v>0</v>
      </c>
      <c r="AB72" s="171">
        <v>0</v>
      </c>
      <c r="AC72" s="171">
        <v>0</v>
      </c>
      <c r="AD72" s="171">
        <v>0</v>
      </c>
      <c r="AE72" s="171">
        <v>0</v>
      </c>
      <c r="AF72" s="171">
        <v>0</v>
      </c>
      <c r="AG72" s="171">
        <v>0</v>
      </c>
      <c r="AH72" s="171">
        <v>0</v>
      </c>
      <c r="AI72" s="171">
        <v>0</v>
      </c>
      <c r="AJ72" s="171">
        <v>0</v>
      </c>
      <c r="AK72" s="171">
        <v>0</v>
      </c>
      <c r="AL72" s="171">
        <v>0</v>
      </c>
      <c r="AM72" s="171">
        <f t="shared" si="2"/>
        <v>0</v>
      </c>
      <c r="AN72" s="171">
        <v>0</v>
      </c>
      <c r="AP72" s="407"/>
    </row>
    <row r="73" spans="1:42" s="9" customFormat="1" ht="12">
      <c r="A73" s="6"/>
      <c r="B73" s="464"/>
      <c r="C73" s="6"/>
      <c r="D73" s="36" t="s">
        <v>674</v>
      </c>
      <c r="E73" s="171">
        <v>-6837</v>
      </c>
      <c r="F73" s="171">
        <v>0</v>
      </c>
      <c r="G73" s="171">
        <v>0</v>
      </c>
      <c r="H73" s="171">
        <v>0</v>
      </c>
      <c r="I73" s="171">
        <v>0</v>
      </c>
      <c r="J73" s="171">
        <v>0</v>
      </c>
      <c r="K73" s="171">
        <v>0</v>
      </c>
      <c r="L73" s="171">
        <v>0</v>
      </c>
      <c r="M73" s="171">
        <v>0</v>
      </c>
      <c r="N73" s="171">
        <v>0</v>
      </c>
      <c r="O73" s="171">
        <v>0</v>
      </c>
      <c r="P73" s="171">
        <v>0</v>
      </c>
      <c r="Q73" s="171">
        <v>0</v>
      </c>
      <c r="R73" s="171"/>
      <c r="S73" s="171">
        <v>0</v>
      </c>
      <c r="T73" s="171">
        <v>0</v>
      </c>
      <c r="U73" s="171">
        <v>0</v>
      </c>
      <c r="V73" s="171">
        <v>0</v>
      </c>
      <c r="W73" s="171">
        <v>0</v>
      </c>
      <c r="X73" s="171">
        <v>0</v>
      </c>
      <c r="Y73" s="171"/>
      <c r="Z73" s="171">
        <v>0</v>
      </c>
      <c r="AA73" s="171">
        <v>0</v>
      </c>
      <c r="AB73" s="171">
        <v>0</v>
      </c>
      <c r="AC73" s="171">
        <v>0</v>
      </c>
      <c r="AD73" s="171">
        <v>0</v>
      </c>
      <c r="AE73" s="171">
        <v>0</v>
      </c>
      <c r="AF73" s="171">
        <v>0</v>
      </c>
      <c r="AG73" s="171">
        <v>0</v>
      </c>
      <c r="AH73" s="171">
        <v>0</v>
      </c>
      <c r="AI73" s="171">
        <v>0</v>
      </c>
      <c r="AJ73" s="171">
        <v>0</v>
      </c>
      <c r="AK73" s="171">
        <v>0</v>
      </c>
      <c r="AL73" s="171">
        <v>0</v>
      </c>
      <c r="AM73" s="171">
        <f t="shared" si="2"/>
        <v>0</v>
      </c>
      <c r="AN73" s="171">
        <v>0</v>
      </c>
      <c r="AP73" s="407"/>
    </row>
    <row r="74" spans="1:42" s="9" customFormat="1" ht="12">
      <c r="A74" s="6"/>
      <c r="B74" s="464"/>
      <c r="C74" s="6"/>
      <c r="D74" s="120" t="s">
        <v>85</v>
      </c>
      <c r="E74" s="323">
        <f t="shared" ref="E74:P74" si="7">SUM(E62:E73)</f>
        <v>434713</v>
      </c>
      <c r="F74" s="323">
        <f t="shared" si="7"/>
        <v>-172741</v>
      </c>
      <c r="G74" s="323">
        <f t="shared" si="7"/>
        <v>-104223</v>
      </c>
      <c r="H74" s="323">
        <f t="shared" si="7"/>
        <v>-25768</v>
      </c>
      <c r="I74" s="323">
        <f t="shared" si="7"/>
        <v>955</v>
      </c>
      <c r="J74" s="323">
        <f t="shared" si="7"/>
        <v>0</v>
      </c>
      <c r="K74" s="323">
        <f t="shared" si="7"/>
        <v>43470</v>
      </c>
      <c r="L74" s="323">
        <f t="shared" si="7"/>
        <v>-233606</v>
      </c>
      <c r="M74" s="323">
        <f t="shared" si="7"/>
        <v>-192395</v>
      </c>
      <c r="N74" s="323">
        <f t="shared" si="7"/>
        <v>-175855</v>
      </c>
      <c r="O74" s="323">
        <f t="shared" si="7"/>
        <v>-129114</v>
      </c>
      <c r="P74" s="323">
        <f t="shared" si="7"/>
        <v>-196171</v>
      </c>
      <c r="Q74" s="323">
        <f>SUM(Q62:Q73)</f>
        <v>-140249</v>
      </c>
      <c r="R74" s="323"/>
      <c r="S74" s="323">
        <f>SUM(S62:S73)</f>
        <v>-42290</v>
      </c>
      <c r="T74" s="323">
        <f>G74-S74</f>
        <v>-61933</v>
      </c>
      <c r="U74" s="323">
        <f t="shared" ref="U74:AN74" si="8">SUM(U62:U73)</f>
        <v>24669</v>
      </c>
      <c r="V74" s="323">
        <f>H74-U74</f>
        <v>-50437</v>
      </c>
      <c r="W74" s="323">
        <f t="shared" si="8"/>
        <v>-22355</v>
      </c>
      <c r="X74" s="323">
        <f>I74-W74</f>
        <v>23310</v>
      </c>
      <c r="Y74" s="323"/>
      <c r="Z74" s="323">
        <f t="shared" si="8"/>
        <v>-119612</v>
      </c>
      <c r="AA74" s="323">
        <f>K74-Z74</f>
        <v>163082</v>
      </c>
      <c r="AB74" s="323">
        <f t="shared" si="8"/>
        <v>-79026</v>
      </c>
      <c r="AC74" s="323">
        <f>L74-AB74</f>
        <v>-154580</v>
      </c>
      <c r="AD74" s="323">
        <f t="shared" si="8"/>
        <v>-91276</v>
      </c>
      <c r="AE74" s="323">
        <f>M74-AD74</f>
        <v>-101119</v>
      </c>
      <c r="AF74" s="323">
        <f t="shared" si="8"/>
        <v>-84157</v>
      </c>
      <c r="AG74" s="323">
        <f t="shared" si="8"/>
        <v>-91698</v>
      </c>
      <c r="AH74" s="323">
        <f t="shared" si="8"/>
        <v>-67803</v>
      </c>
      <c r="AI74" s="323">
        <f>O74-AH74</f>
        <v>-61311</v>
      </c>
      <c r="AJ74" s="323">
        <f t="shared" si="8"/>
        <v>-77057</v>
      </c>
      <c r="AK74" s="323">
        <f>P74-AJ74</f>
        <v>-119114</v>
      </c>
      <c r="AL74" s="323">
        <f t="shared" si="8"/>
        <v>-40442</v>
      </c>
      <c r="AM74" s="323">
        <f t="shared" si="8"/>
        <v>-99807</v>
      </c>
      <c r="AN74" s="323">
        <f t="shared" si="8"/>
        <v>-43322</v>
      </c>
      <c r="AP74" s="407"/>
    </row>
    <row r="75" spans="1:42" s="9" customFormat="1" ht="12">
      <c r="A75" s="6"/>
      <c r="B75" s="119"/>
      <c r="C75" s="6"/>
      <c r="D75" s="36"/>
      <c r="E75" s="171"/>
      <c r="F75" s="171"/>
      <c r="G75" s="171"/>
      <c r="H75" s="171"/>
      <c r="I75" s="171"/>
      <c r="J75" s="171"/>
      <c r="K75" s="171"/>
      <c r="L75" s="171"/>
      <c r="M75" s="171"/>
      <c r="N75" s="171"/>
      <c r="O75" s="171"/>
      <c r="P75" s="171"/>
      <c r="Q75" s="171"/>
      <c r="R75" s="171"/>
      <c r="S75" s="171"/>
      <c r="T75" s="171">
        <f>G75-S75</f>
        <v>0</v>
      </c>
      <c r="U75" s="171"/>
      <c r="V75" s="171">
        <f>H75-U75</f>
        <v>0</v>
      </c>
      <c r="W75" s="171"/>
      <c r="X75" s="171">
        <f>I75-W75</f>
        <v>0</v>
      </c>
      <c r="Y75" s="171"/>
      <c r="Z75" s="171"/>
      <c r="AA75" s="171">
        <f>K75-Z75</f>
        <v>0</v>
      </c>
      <c r="AB75" s="171"/>
      <c r="AC75" s="171">
        <f>L75-AB75</f>
        <v>0</v>
      </c>
      <c r="AD75" s="171"/>
      <c r="AE75" s="171">
        <f>M75-AD75</f>
        <v>0</v>
      </c>
      <c r="AF75" s="171"/>
      <c r="AG75" s="171"/>
      <c r="AH75" s="171"/>
      <c r="AI75" s="171"/>
      <c r="AJ75" s="171"/>
      <c r="AK75" s="171"/>
      <c r="AL75" s="171"/>
      <c r="AM75" s="407"/>
      <c r="AN75" s="407"/>
      <c r="AP75" s="407"/>
    </row>
    <row r="76" spans="1:42" s="9" customFormat="1" ht="12">
      <c r="A76" s="6"/>
      <c r="B76" s="119"/>
      <c r="C76" s="6"/>
      <c r="D76" s="36" t="s">
        <v>86</v>
      </c>
      <c r="E76" s="171">
        <f>E36+E59+E74</f>
        <v>28184</v>
      </c>
      <c r="F76" s="171">
        <f>F36+F59+F74</f>
        <v>-46621</v>
      </c>
      <c r="G76" s="171">
        <f>G36+G59+G74</f>
        <v>3722</v>
      </c>
      <c r="H76" s="171">
        <f>H36+H59+H74</f>
        <v>94164</v>
      </c>
      <c r="I76" s="171">
        <f>I36+I59+I74</f>
        <v>-50994</v>
      </c>
      <c r="J76" s="171"/>
      <c r="K76" s="171">
        <f t="shared" ref="K76:P76" si="9">K36+K59+K74</f>
        <v>38455</v>
      </c>
      <c r="L76" s="171">
        <f t="shared" si="9"/>
        <v>8282</v>
      </c>
      <c r="M76" s="171">
        <f t="shared" si="9"/>
        <v>45818</v>
      </c>
      <c r="N76" s="171">
        <f t="shared" si="9"/>
        <v>-5627.0708798916894</v>
      </c>
      <c r="O76" s="171">
        <f t="shared" si="9"/>
        <v>10191</v>
      </c>
      <c r="P76" s="171">
        <f t="shared" si="9"/>
        <v>-35284</v>
      </c>
      <c r="Q76" s="171">
        <f>Q74+Q59+Q36</f>
        <v>31812</v>
      </c>
      <c r="R76" s="171"/>
      <c r="S76" s="171">
        <f t="shared" ref="S76:AJ76" si="10">S36+S59+S74</f>
        <v>13941</v>
      </c>
      <c r="T76" s="171">
        <f>G76-S76</f>
        <v>-10219</v>
      </c>
      <c r="U76" s="171">
        <f t="shared" si="10"/>
        <v>105200</v>
      </c>
      <c r="V76" s="171">
        <f t="shared" si="10"/>
        <v>-11036</v>
      </c>
      <c r="W76" s="171">
        <f t="shared" si="10"/>
        <v>68955</v>
      </c>
      <c r="X76" s="171">
        <f t="shared" ref="X76" si="11">X36+X59+X74</f>
        <v>-119949</v>
      </c>
      <c r="Y76" s="171"/>
      <c r="Z76" s="171">
        <f t="shared" si="10"/>
        <v>-437</v>
      </c>
      <c r="AA76" s="171">
        <f>K76-Z76</f>
        <v>38892</v>
      </c>
      <c r="AB76" s="171">
        <f t="shared" si="10"/>
        <v>6403</v>
      </c>
      <c r="AC76" s="171">
        <f>L76-AB76</f>
        <v>1879</v>
      </c>
      <c r="AD76" s="171">
        <f t="shared" si="10"/>
        <v>39075</v>
      </c>
      <c r="AE76" s="171">
        <f>M76-AD76</f>
        <v>6743</v>
      </c>
      <c r="AF76" s="171">
        <f t="shared" si="10"/>
        <v>1030</v>
      </c>
      <c r="AG76" s="171">
        <f t="shared" si="10"/>
        <v>-6657.0708798916894</v>
      </c>
      <c r="AH76" s="171">
        <f t="shared" si="10"/>
        <v>-3686</v>
      </c>
      <c r="AI76" s="171">
        <f t="shared" si="10"/>
        <v>13877</v>
      </c>
      <c r="AJ76" s="171">
        <f t="shared" si="10"/>
        <v>-3830</v>
      </c>
      <c r="AK76" s="171">
        <f>AK36+AK59+AK74</f>
        <v>-31454</v>
      </c>
      <c r="AL76" s="171">
        <f>AL36+AL59+AL74</f>
        <v>46682</v>
      </c>
      <c r="AM76" s="171">
        <f>AM36+AM59+AM74</f>
        <v>-14870</v>
      </c>
      <c r="AN76" s="171">
        <f>AN36+AN59+AN74</f>
        <v>26545</v>
      </c>
      <c r="AP76" s="407"/>
    </row>
    <row r="77" spans="1:42" s="9" customFormat="1" ht="12">
      <c r="A77" s="6"/>
      <c r="B77" s="119"/>
      <c r="C77" s="6"/>
      <c r="D77" s="36" t="s">
        <v>87</v>
      </c>
      <c r="E77" s="171">
        <v>71681</v>
      </c>
      <c r="F77" s="171">
        <f>'Balance sheet'!E22</f>
        <v>102701</v>
      </c>
      <c r="G77" s="171">
        <f>'Balance sheet'!F22</f>
        <v>44093</v>
      </c>
      <c r="H77" s="171">
        <f>'Balance sheet'!G22</f>
        <v>47355</v>
      </c>
      <c r="I77" s="171">
        <f>'Balance sheet'!H22</f>
        <v>137068</v>
      </c>
      <c r="J77" s="171"/>
      <c r="K77" s="171">
        <v>77935</v>
      </c>
      <c r="L77" s="171">
        <f>'Balance sheet'!K22</f>
        <v>113219</v>
      </c>
      <c r="M77" s="171">
        <f>'Balance sheet'!L22</f>
        <v>78808</v>
      </c>
      <c r="N77" s="171">
        <f>'Balance sheet'!M22</f>
        <v>123135</v>
      </c>
      <c r="O77" s="171">
        <f>'Balance sheet'!N22</f>
        <v>119279</v>
      </c>
      <c r="P77" s="171">
        <f>'Balance sheet'!O22</f>
        <v>130434</v>
      </c>
      <c r="Q77" s="171">
        <f>P79</f>
        <v>91613</v>
      </c>
      <c r="R77" s="171"/>
      <c r="S77" s="171">
        <f>'Balance sheet'!F22</f>
        <v>44093</v>
      </c>
      <c r="T77" s="171">
        <f>S79</f>
        <v>56667</v>
      </c>
      <c r="U77" s="171">
        <f>T79</f>
        <v>47355</v>
      </c>
      <c r="V77" s="171">
        <f>U79</f>
        <v>155499</v>
      </c>
      <c r="W77" s="171">
        <f>V79</f>
        <v>137068</v>
      </c>
      <c r="X77" s="171">
        <f>W79</f>
        <v>202583</v>
      </c>
      <c r="Y77" s="171"/>
      <c r="Z77" s="171">
        <v>77935</v>
      </c>
      <c r="AA77" s="171">
        <f t="shared" ref="AA77:AJ77" si="12">Z79</f>
        <v>73347</v>
      </c>
      <c r="AB77" s="171">
        <f>AA79</f>
        <v>113219</v>
      </c>
      <c r="AC77" s="171">
        <f t="shared" si="12"/>
        <v>115488</v>
      </c>
      <c r="AD77" s="171">
        <f t="shared" si="12"/>
        <v>78808</v>
      </c>
      <c r="AE77" s="171">
        <f t="shared" si="12"/>
        <v>117373</v>
      </c>
      <c r="AF77" s="171">
        <f t="shared" si="12"/>
        <v>123135</v>
      </c>
      <c r="AG77" s="171">
        <f t="shared" si="12"/>
        <v>119200</v>
      </c>
      <c r="AH77" s="171">
        <f t="shared" si="12"/>
        <v>119278.92912010831</v>
      </c>
      <c r="AI77" s="171">
        <f t="shared" si="12"/>
        <v>115944.92912010831</v>
      </c>
      <c r="AJ77" s="171">
        <f t="shared" si="12"/>
        <v>130433.92912010831</v>
      </c>
      <c r="AK77" s="171">
        <f>AJ79</f>
        <v>125850.92912010831</v>
      </c>
      <c r="AL77" s="171">
        <f>AK79</f>
        <v>91612.929120108311</v>
      </c>
      <c r="AM77" s="171">
        <f>AL79</f>
        <v>139375.92912010831</v>
      </c>
      <c r="AN77" s="171">
        <f>AM79</f>
        <v>124352.92912010831</v>
      </c>
      <c r="AP77" s="407"/>
    </row>
    <row r="78" spans="1:42" s="9" customFormat="1" ht="12">
      <c r="A78" s="6"/>
      <c r="B78" s="119"/>
      <c r="C78" s="6"/>
      <c r="D78" s="36" t="s">
        <v>88</v>
      </c>
      <c r="E78" s="171">
        <v>2836</v>
      </c>
      <c r="F78" s="171">
        <v>-11987</v>
      </c>
      <c r="G78" s="171">
        <v>-460</v>
      </c>
      <c r="H78" s="171">
        <v>-4451</v>
      </c>
      <c r="I78" s="171">
        <v>3570</v>
      </c>
      <c r="J78" s="171"/>
      <c r="K78" s="171">
        <v>-3171</v>
      </c>
      <c r="L78" s="171">
        <v>-42693</v>
      </c>
      <c r="M78" s="171">
        <v>-1491</v>
      </c>
      <c r="N78" s="171">
        <v>1771</v>
      </c>
      <c r="O78" s="171">
        <v>964</v>
      </c>
      <c r="P78" s="171">
        <v>-3537</v>
      </c>
      <c r="Q78" s="171">
        <v>928</v>
      </c>
      <c r="R78" s="171"/>
      <c r="S78" s="171">
        <v>-1367</v>
      </c>
      <c r="T78" s="171">
        <v>907</v>
      </c>
      <c r="U78" s="171">
        <v>2944</v>
      </c>
      <c r="V78" s="171">
        <v>-7395</v>
      </c>
      <c r="W78" s="171">
        <v>-3440</v>
      </c>
      <c r="X78" s="171">
        <v>7010</v>
      </c>
      <c r="Y78" s="171"/>
      <c r="Z78" s="171">
        <v>-4151</v>
      </c>
      <c r="AA78" s="171">
        <v>980</v>
      </c>
      <c r="AB78" s="171">
        <v>-4134</v>
      </c>
      <c r="AC78" s="171">
        <v>-38559</v>
      </c>
      <c r="AD78" s="171">
        <v>-510</v>
      </c>
      <c r="AE78" s="171">
        <v>-981</v>
      </c>
      <c r="AF78" s="171">
        <v>-4965</v>
      </c>
      <c r="AG78" s="171">
        <v>6736</v>
      </c>
      <c r="AH78" s="171">
        <v>352</v>
      </c>
      <c r="AI78" s="171">
        <v>612</v>
      </c>
      <c r="AJ78" s="171">
        <v>-753</v>
      </c>
      <c r="AK78" s="171">
        <v>-2784</v>
      </c>
      <c r="AL78" s="171">
        <v>1081</v>
      </c>
      <c r="AM78" s="171">
        <f>Q78-AL78</f>
        <v>-153</v>
      </c>
      <c r="AN78" s="171">
        <v>-1255</v>
      </c>
      <c r="AP78" s="407"/>
    </row>
    <row r="79" spans="1:42" s="17" customFormat="1" ht="12">
      <c r="A79" s="7"/>
      <c r="B79" s="119"/>
      <c r="C79" s="7"/>
      <c r="D79" s="120" t="s">
        <v>89</v>
      </c>
      <c r="E79" s="323">
        <f t="shared" ref="E79" si="13">SUM(E76:E78)</f>
        <v>102701</v>
      </c>
      <c r="F79" s="323">
        <f t="shared" ref="F79" si="14">SUM(F76:F78)</f>
        <v>44093</v>
      </c>
      <c r="G79" s="323">
        <f t="shared" ref="G79" si="15">SUM(G76:G78)</f>
        <v>47355</v>
      </c>
      <c r="H79" s="323">
        <f t="shared" ref="H79" si="16">SUM(H76:H78)</f>
        <v>137068</v>
      </c>
      <c r="I79" s="323">
        <f t="shared" ref="I79" si="17">SUM(I76:I78)</f>
        <v>89644</v>
      </c>
      <c r="J79" s="323">
        <f t="shared" ref="J79" si="18">SUM(J76:J78)</f>
        <v>0</v>
      </c>
      <c r="K79" s="323">
        <f t="shared" ref="K79" si="19">SUM(K76:K78)</f>
        <v>113219</v>
      </c>
      <c r="L79" s="323">
        <f t="shared" ref="L79" si="20">SUM(L76:L78)</f>
        <v>78808</v>
      </c>
      <c r="M79" s="323">
        <f t="shared" ref="M79" si="21">SUM(M76:M78)</f>
        <v>123135</v>
      </c>
      <c r="N79" s="323">
        <f t="shared" ref="N79" si="22">SUM(N76:N78)</f>
        <v>119278.92912010831</v>
      </c>
      <c r="O79" s="323">
        <f t="shared" ref="O79" si="23">SUM(O76:O78)</f>
        <v>130434</v>
      </c>
      <c r="P79" s="323">
        <f t="shared" ref="P79" si="24">SUM(P76:P78)</f>
        <v>91613</v>
      </c>
      <c r="Q79" s="323">
        <f>SUM(Q76:Q78)</f>
        <v>124353</v>
      </c>
      <c r="R79" s="323"/>
      <c r="S79" s="323">
        <f t="shared" ref="S79" si="25">SUM(S76:S78)</f>
        <v>56667</v>
      </c>
      <c r="T79" s="323">
        <f t="shared" ref="T79" si="26">SUM(T76:T78)</f>
        <v>47355</v>
      </c>
      <c r="U79" s="323">
        <f t="shared" ref="U79" si="27">SUM(U76:U78)</f>
        <v>155499</v>
      </c>
      <c r="V79" s="323">
        <f t="shared" ref="V79" si="28">SUM(V76:V78)</f>
        <v>137068</v>
      </c>
      <c r="W79" s="323">
        <f t="shared" ref="W79" si="29">SUM(W76:W78)</f>
        <v>202583</v>
      </c>
      <c r="X79" s="323">
        <f t="shared" ref="X79" si="30">SUM(X76:X78)</f>
        <v>89644</v>
      </c>
      <c r="Y79" s="323"/>
      <c r="Z79" s="323">
        <f t="shared" ref="Z79" si="31">SUM(Z76:Z78)</f>
        <v>73347</v>
      </c>
      <c r="AA79" s="323">
        <f t="shared" ref="AA79" si="32">SUM(AA76:AA78)</f>
        <v>113219</v>
      </c>
      <c r="AB79" s="323">
        <f t="shared" ref="AB79" si="33">SUM(AB76:AB78)</f>
        <v>115488</v>
      </c>
      <c r="AC79" s="323">
        <f t="shared" ref="AC79" si="34">SUM(AC76:AC78)</f>
        <v>78808</v>
      </c>
      <c r="AD79" s="323">
        <f t="shared" ref="AD79" si="35">SUM(AD76:AD78)</f>
        <v>117373</v>
      </c>
      <c r="AE79" s="323">
        <f t="shared" ref="AE79" si="36">SUM(AE76:AE78)</f>
        <v>123135</v>
      </c>
      <c r="AF79" s="323">
        <f t="shared" ref="AF79" si="37">SUM(AF76:AF78)</f>
        <v>119200</v>
      </c>
      <c r="AG79" s="323">
        <f t="shared" ref="AG79" si="38">SUM(AG76:AG78)</f>
        <v>119278.92912010831</v>
      </c>
      <c r="AH79" s="323">
        <f t="shared" ref="AH79" si="39">SUM(AH76:AH78)</f>
        <v>115944.92912010831</v>
      </c>
      <c r="AI79" s="323">
        <f t="shared" ref="AI79:AN79" si="40">SUM(AI76:AI78)</f>
        <v>130433.92912010831</v>
      </c>
      <c r="AJ79" s="323">
        <f t="shared" si="40"/>
        <v>125850.92912010831</v>
      </c>
      <c r="AK79" s="323">
        <f t="shared" si="40"/>
        <v>91612.929120108311</v>
      </c>
      <c r="AL79" s="323">
        <f t="shared" si="40"/>
        <v>139375.92912010831</v>
      </c>
      <c r="AM79" s="323">
        <f t="shared" si="40"/>
        <v>124352.92912010831</v>
      </c>
      <c r="AN79" s="323">
        <f t="shared" si="40"/>
        <v>149642.92912010831</v>
      </c>
      <c r="AP79" s="407"/>
    </row>
    <row r="80" spans="1:42">
      <c r="B80" s="119"/>
    </row>
    <row r="81" spans="2:41">
      <c r="B81" s="119"/>
      <c r="C81" s="299"/>
      <c r="D81" s="299"/>
      <c r="E81" s="301"/>
      <c r="F81" s="301"/>
      <c r="G81" s="301"/>
      <c r="H81" s="301"/>
      <c r="I81" s="301"/>
      <c r="J81" s="301"/>
      <c r="K81" s="301"/>
      <c r="L81" s="301"/>
      <c r="M81" s="301"/>
      <c r="N81" s="301"/>
      <c r="O81" s="301"/>
      <c r="P81" s="301"/>
      <c r="Q81" s="301"/>
      <c r="S81" s="301"/>
      <c r="T81" s="301"/>
      <c r="U81" s="301"/>
      <c r="V81" s="301"/>
      <c r="W81" s="301"/>
    </row>
    <row r="82" spans="2:41">
      <c r="B82" s="119"/>
      <c r="D82" s="6" t="s">
        <v>108</v>
      </c>
    </row>
    <row r="83" spans="2:41">
      <c r="D83" s="8" t="s">
        <v>109</v>
      </c>
    </row>
    <row r="85" spans="2:41">
      <c r="D85" s="396" t="s">
        <v>734</v>
      </c>
    </row>
    <row r="86" spans="2:41" ht="14.25" customHeight="1">
      <c r="D86" s="450" t="s">
        <v>749</v>
      </c>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row>
    <row r="87" spans="2:41" ht="47.25" customHeight="1">
      <c r="D87" s="450" t="s">
        <v>751</v>
      </c>
      <c r="E87" s="443"/>
      <c r="F87" s="443"/>
      <c r="G87" s="443"/>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row>
    <row r="88" spans="2:41">
      <c r="D88" s="451"/>
    </row>
    <row r="89" spans="2:41">
      <c r="D89" s="451"/>
    </row>
    <row r="90" spans="2:41">
      <c r="D90" s="451"/>
    </row>
    <row r="91" spans="2:41">
      <c r="D91" s="451"/>
    </row>
  </sheetData>
  <mergeCells count="3">
    <mergeCell ref="B38:B59"/>
    <mergeCell ref="B7:B36"/>
    <mergeCell ref="B61:B74"/>
  </mergeCells>
  <dataValidations count="1">
    <dataValidation allowBlank="1" showErrorMessage="1" sqref="AN46" xr:uid="{00000000-0002-0000-0300-000000000000}">
      <formula1>0</formula1>
      <formula2>0</formula2>
    </dataValidation>
  </dataValidations>
  <hyperlinks>
    <hyperlink ref="D83" r:id="rId1" xr:uid="{00000000-0004-0000-0300-000000000000}"/>
  </hyperlinks>
  <pageMargins left="0.7" right="0.7" top="0.75" bottom="0.75" header="0.3" footer="0.3"/>
  <ignoredErrors>
    <ignoredError sqref="T36 V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7F83"/>
  </sheetPr>
  <dimension ref="B3:AO222"/>
  <sheetViews>
    <sheetView zoomScale="80" zoomScaleNormal="80" workbookViewId="0">
      <pane xSplit="4" ySplit="5" topLeftCell="E6" activePane="bottomRight" state="frozen"/>
      <selection pane="topRight" activeCell="E1" sqref="E1"/>
      <selection pane="bottomLeft" activeCell="A6" sqref="A6"/>
      <selection pane="bottomRight" activeCell="O226" sqref="O226"/>
    </sheetView>
  </sheetViews>
  <sheetFormatPr defaultColWidth="9.140625" defaultRowHeight="12"/>
  <cols>
    <col min="1" max="1" width="2" style="6" customWidth="1"/>
    <col min="2" max="2" width="4.140625" style="6" customWidth="1"/>
    <col min="3" max="3" width="1.7109375" style="6" customWidth="1"/>
    <col min="4" max="4" width="42" style="6" customWidth="1"/>
    <col min="5" max="15" width="10.28515625" style="173" bestFit="1" customWidth="1"/>
    <col min="16" max="16" width="10.28515625" style="173" customWidth="1"/>
    <col min="17" max="17" width="6.42578125" style="164" customWidth="1"/>
    <col min="18" max="18" width="10.28515625" style="173" bestFit="1" customWidth="1"/>
    <col min="19" max="19" width="10.85546875" style="173" customWidth="1"/>
    <col min="20" max="20" width="10.28515625" style="173" bestFit="1" customWidth="1"/>
    <col min="21" max="21" width="10" style="173" customWidth="1"/>
    <col min="22" max="22" width="10.28515625" style="173" bestFit="1" customWidth="1"/>
    <col min="23" max="23" width="10.42578125" style="173" customWidth="1"/>
    <col min="24" max="24" width="10.28515625" style="173" bestFit="1" customWidth="1"/>
    <col min="25" max="25" width="11.28515625" style="173" customWidth="1"/>
    <col min="26" max="26" width="10.28515625" style="173" bestFit="1" customWidth="1"/>
    <col min="27" max="27" width="10.42578125" style="173" customWidth="1"/>
    <col min="28" max="28" width="10.28515625" style="173" bestFit="1" customWidth="1"/>
    <col min="29" max="29" width="10.5703125" style="173" customWidth="1"/>
    <col min="30" max="30" width="10.28515625" style="173" customWidth="1"/>
    <col min="31" max="31" width="10.5703125" style="173" customWidth="1"/>
    <col min="32" max="32" width="10.28515625" style="173" bestFit="1" customWidth="1"/>
    <col min="33" max="33" width="10.140625" style="173" customWidth="1"/>
    <col min="34" max="34" width="10.28515625" style="173" bestFit="1" customWidth="1"/>
    <col min="35" max="35" width="10.42578125" style="173" customWidth="1"/>
    <col min="36" max="36" width="11" style="173" customWidth="1"/>
    <col min="37" max="38" width="10.28515625" style="6" bestFit="1" customWidth="1"/>
    <col min="39" max="16384" width="9.140625" style="6"/>
  </cols>
  <sheetData>
    <row r="3" spans="2:40">
      <c r="D3" s="7" t="s">
        <v>757</v>
      </c>
    </row>
    <row r="5" spans="2:40" s="69" customFormat="1">
      <c r="D5" s="16"/>
      <c r="E5" s="278">
        <v>39813</v>
      </c>
      <c r="F5" s="278">
        <v>40178</v>
      </c>
      <c r="G5" s="278">
        <v>40543</v>
      </c>
      <c r="H5" s="278">
        <v>40908</v>
      </c>
      <c r="I5" s="278">
        <v>41274</v>
      </c>
      <c r="J5" s="278">
        <v>41639</v>
      </c>
      <c r="K5" s="278">
        <v>42004</v>
      </c>
      <c r="L5" s="278">
        <v>42369</v>
      </c>
      <c r="M5" s="278">
        <v>42735</v>
      </c>
      <c r="N5" s="278">
        <v>43100</v>
      </c>
      <c r="O5" s="278">
        <v>43465</v>
      </c>
      <c r="P5" s="278">
        <v>43830</v>
      </c>
      <c r="Q5" s="409"/>
      <c r="R5" s="162" t="s">
        <v>347</v>
      </c>
      <c r="S5" s="162" t="s">
        <v>348</v>
      </c>
      <c r="T5" s="162" t="s">
        <v>345</v>
      </c>
      <c r="U5" s="162" t="s">
        <v>346</v>
      </c>
      <c r="V5" s="162" t="s">
        <v>343</v>
      </c>
      <c r="W5" s="162" t="s">
        <v>344</v>
      </c>
      <c r="X5" s="162" t="s">
        <v>95</v>
      </c>
      <c r="Y5" s="162" t="s">
        <v>96</v>
      </c>
      <c r="Z5" s="162" t="s">
        <v>97</v>
      </c>
      <c r="AA5" s="162" t="s">
        <v>98</v>
      </c>
      <c r="AB5" s="162" t="s">
        <v>99</v>
      </c>
      <c r="AC5" s="162" t="s">
        <v>100</v>
      </c>
      <c r="AD5" s="162" t="s">
        <v>101</v>
      </c>
      <c r="AE5" s="162" t="s">
        <v>102</v>
      </c>
      <c r="AF5" s="162" t="s">
        <v>103</v>
      </c>
      <c r="AG5" s="162" t="s">
        <v>105</v>
      </c>
      <c r="AH5" s="162" t="s">
        <v>106</v>
      </c>
      <c r="AI5" s="162" t="s">
        <v>104</v>
      </c>
      <c r="AJ5" s="162" t="s">
        <v>653</v>
      </c>
      <c r="AK5" s="162" t="s">
        <v>758</v>
      </c>
      <c r="AL5" s="162" t="s">
        <v>795</v>
      </c>
    </row>
    <row r="6" spans="2:40">
      <c r="D6" s="120" t="s">
        <v>624</v>
      </c>
      <c r="E6" s="397" t="s">
        <v>739</v>
      </c>
      <c r="F6" s="397" t="s">
        <v>739</v>
      </c>
      <c r="G6" s="160"/>
      <c r="H6" s="160"/>
      <c r="I6" s="160"/>
      <c r="J6" s="160"/>
      <c r="K6" s="160"/>
      <c r="L6" s="160"/>
      <c r="M6" s="160"/>
      <c r="N6" s="160"/>
      <c r="O6" s="160"/>
      <c r="P6" s="160"/>
      <c r="R6" s="160"/>
      <c r="S6" s="160"/>
      <c r="T6" s="160"/>
      <c r="U6" s="160"/>
      <c r="V6" s="160"/>
      <c r="W6" s="160"/>
      <c r="X6" s="160"/>
      <c r="Y6" s="160"/>
      <c r="Z6" s="160"/>
      <c r="AA6" s="160"/>
      <c r="AB6" s="160"/>
      <c r="AC6" s="160"/>
      <c r="AD6" s="160"/>
      <c r="AE6" s="160"/>
      <c r="AF6" s="160"/>
      <c r="AG6" s="160"/>
      <c r="AH6" s="160"/>
      <c r="AI6" s="160"/>
      <c r="AJ6" s="160"/>
      <c r="AK6" s="160"/>
      <c r="AL6" s="160"/>
    </row>
    <row r="7" spans="2:40" ht="12" customHeight="1">
      <c r="B7" s="467" t="s">
        <v>623</v>
      </c>
      <c r="C7" s="34"/>
      <c r="D7" s="35" t="s">
        <v>602</v>
      </c>
      <c r="E7" s="157">
        <v>397310</v>
      </c>
      <c r="F7" s="157">
        <v>150212</v>
      </c>
      <c r="G7" s="157">
        <v>237294</v>
      </c>
      <c r="H7" s="157">
        <v>347864</v>
      </c>
      <c r="I7" s="157">
        <v>377511</v>
      </c>
      <c r="J7" s="157">
        <v>370712</v>
      </c>
      <c r="K7" s="157">
        <v>602112</v>
      </c>
      <c r="L7" s="157">
        <v>439095</v>
      </c>
      <c r="M7" s="157">
        <v>359681</v>
      </c>
      <c r="N7" s="157">
        <v>360470</v>
      </c>
      <c r="O7" s="157">
        <v>365190</v>
      </c>
      <c r="P7" s="157">
        <v>376752</v>
      </c>
      <c r="R7" s="157">
        <v>94238</v>
      </c>
      <c r="S7" s="157">
        <f>G7-R7</f>
        <v>143056</v>
      </c>
      <c r="T7" s="157">
        <v>176943</v>
      </c>
      <c r="U7" s="157">
        <f>H7-T7</f>
        <v>170921</v>
      </c>
      <c r="V7" s="157">
        <v>184465</v>
      </c>
      <c r="W7" s="157">
        <f>I7-V7</f>
        <v>193046</v>
      </c>
      <c r="X7" s="157">
        <v>188895</v>
      </c>
      <c r="Y7" s="157">
        <f>J7-X7</f>
        <v>181817</v>
      </c>
      <c r="Z7" s="157">
        <v>306487</v>
      </c>
      <c r="AA7" s="157">
        <f>K7-Z7</f>
        <v>295625</v>
      </c>
      <c r="AB7" s="157">
        <v>231622</v>
      </c>
      <c r="AC7" s="157">
        <f>L7-AB7</f>
        <v>207473</v>
      </c>
      <c r="AD7" s="157">
        <v>177937</v>
      </c>
      <c r="AE7" s="157">
        <f>M7-AD7</f>
        <v>181744</v>
      </c>
      <c r="AF7" s="157">
        <v>177683</v>
      </c>
      <c r="AG7" s="157">
        <v>182787</v>
      </c>
      <c r="AH7" s="157">
        <v>189086</v>
      </c>
      <c r="AI7" s="157">
        <v>176104</v>
      </c>
      <c r="AJ7" s="157">
        <v>189169</v>
      </c>
      <c r="AK7" s="157">
        <f>P7-AJ7</f>
        <v>187583</v>
      </c>
      <c r="AL7" s="157">
        <v>189701</v>
      </c>
      <c r="AN7" s="173"/>
    </row>
    <row r="8" spans="2:40">
      <c r="B8" s="467"/>
      <c r="C8" s="34"/>
      <c r="D8" s="63" t="s">
        <v>603</v>
      </c>
      <c r="E8" s="156">
        <v>2716</v>
      </c>
      <c r="F8" s="156">
        <v>1973</v>
      </c>
      <c r="G8" s="156">
        <v>1890</v>
      </c>
      <c r="H8" s="156">
        <v>1885</v>
      </c>
      <c r="I8" s="156">
        <v>0</v>
      </c>
      <c r="J8" s="156">
        <v>24</v>
      </c>
      <c r="K8" s="156">
        <v>125</v>
      </c>
      <c r="L8" s="156">
        <v>65</v>
      </c>
      <c r="M8" s="156">
        <v>0</v>
      </c>
      <c r="N8" s="156">
        <v>0</v>
      </c>
      <c r="O8" s="156">
        <v>0</v>
      </c>
      <c r="P8" s="156">
        <v>0</v>
      </c>
      <c r="R8" s="156">
        <v>955</v>
      </c>
      <c r="S8" s="156">
        <f t="shared" ref="S8:S70" si="0">G8-R8</f>
        <v>935</v>
      </c>
      <c r="T8" s="156">
        <v>994</v>
      </c>
      <c r="U8" s="156">
        <f>H8-T8</f>
        <v>891</v>
      </c>
      <c r="V8" s="156">
        <v>0</v>
      </c>
      <c r="W8" s="156">
        <f>I8-V8</f>
        <v>0</v>
      </c>
      <c r="X8" s="156">
        <v>0</v>
      </c>
      <c r="Y8" s="156">
        <f>J8-X8</f>
        <v>24</v>
      </c>
      <c r="Z8" s="156">
        <v>76</v>
      </c>
      <c r="AA8" s="156">
        <f>K8-Z8</f>
        <v>49</v>
      </c>
      <c r="AB8" s="156">
        <v>41</v>
      </c>
      <c r="AC8" s="156">
        <f>L8-AB8</f>
        <v>24</v>
      </c>
      <c r="AD8" s="156">
        <v>28</v>
      </c>
      <c r="AE8" s="156">
        <f>M8-AD8</f>
        <v>-28</v>
      </c>
      <c r="AF8" s="156">
        <v>0</v>
      </c>
      <c r="AG8" s="156">
        <v>0</v>
      </c>
      <c r="AH8" s="156">
        <v>0</v>
      </c>
      <c r="AI8" s="156">
        <v>0</v>
      </c>
      <c r="AJ8" s="156">
        <v>0</v>
      </c>
      <c r="AK8" s="156">
        <f t="shared" ref="AK8:AK27" si="1">P8-AJ8</f>
        <v>0</v>
      </c>
      <c r="AL8" s="156">
        <v>0</v>
      </c>
      <c r="AN8" s="173"/>
    </row>
    <row r="9" spans="2:40">
      <c r="B9" s="467"/>
      <c r="C9" s="34"/>
      <c r="D9" s="35" t="s">
        <v>604</v>
      </c>
      <c r="E9" s="157">
        <f t="shared" ref="E9:N9" si="2">E7+E8</f>
        <v>400026</v>
      </c>
      <c r="F9" s="157">
        <f t="shared" si="2"/>
        <v>152185</v>
      </c>
      <c r="G9" s="157">
        <f t="shared" si="2"/>
        <v>239184</v>
      </c>
      <c r="H9" s="157">
        <f t="shared" si="2"/>
        <v>349749</v>
      </c>
      <c r="I9" s="157">
        <f t="shared" si="2"/>
        <v>377511</v>
      </c>
      <c r="J9" s="157">
        <f t="shared" si="2"/>
        <v>370736</v>
      </c>
      <c r="K9" s="157">
        <f t="shared" si="2"/>
        <v>602237</v>
      </c>
      <c r="L9" s="157">
        <f t="shared" si="2"/>
        <v>439160</v>
      </c>
      <c r="M9" s="157">
        <f t="shared" si="2"/>
        <v>359681</v>
      </c>
      <c r="N9" s="157">
        <f t="shared" si="2"/>
        <v>360470</v>
      </c>
      <c r="O9" s="157">
        <f>O7+O8</f>
        <v>365190</v>
      </c>
      <c r="P9" s="157">
        <v>376752</v>
      </c>
      <c r="R9" s="157">
        <f>R7+R8</f>
        <v>95193</v>
      </c>
      <c r="S9" s="157">
        <f t="shared" ref="S9:AI9" si="3">S7+S8</f>
        <v>143991</v>
      </c>
      <c r="T9" s="157">
        <f t="shared" si="3"/>
        <v>177937</v>
      </c>
      <c r="U9" s="157">
        <f t="shared" si="3"/>
        <v>171812</v>
      </c>
      <c r="V9" s="157">
        <f t="shared" si="3"/>
        <v>184465</v>
      </c>
      <c r="W9" s="157">
        <f t="shared" si="3"/>
        <v>193046</v>
      </c>
      <c r="X9" s="157">
        <f t="shared" si="3"/>
        <v>188895</v>
      </c>
      <c r="Y9" s="157">
        <f t="shared" si="3"/>
        <v>181841</v>
      </c>
      <c r="Z9" s="157">
        <f t="shared" si="3"/>
        <v>306563</v>
      </c>
      <c r="AA9" s="157">
        <f t="shared" si="3"/>
        <v>295674</v>
      </c>
      <c r="AB9" s="157">
        <f t="shared" si="3"/>
        <v>231663</v>
      </c>
      <c r="AC9" s="157">
        <f t="shared" si="3"/>
        <v>207497</v>
      </c>
      <c r="AD9" s="157">
        <f t="shared" si="3"/>
        <v>177965</v>
      </c>
      <c r="AE9" s="157">
        <f t="shared" si="3"/>
        <v>181716</v>
      </c>
      <c r="AF9" s="157">
        <f t="shared" si="3"/>
        <v>177683</v>
      </c>
      <c r="AG9" s="157">
        <f t="shared" si="3"/>
        <v>182787</v>
      </c>
      <c r="AH9" s="157">
        <f t="shared" si="3"/>
        <v>189086</v>
      </c>
      <c r="AI9" s="157">
        <f t="shared" si="3"/>
        <v>176104</v>
      </c>
      <c r="AJ9" s="157">
        <f t="shared" ref="AJ9:AL9" si="4">AJ7+AJ8</f>
        <v>189169</v>
      </c>
      <c r="AK9" s="157">
        <f t="shared" si="4"/>
        <v>187583</v>
      </c>
      <c r="AL9" s="157">
        <f t="shared" si="4"/>
        <v>189701</v>
      </c>
      <c r="AN9" s="173"/>
    </row>
    <row r="10" spans="2:40">
      <c r="B10" s="467"/>
      <c r="C10" s="34"/>
      <c r="D10" s="36" t="s">
        <v>1</v>
      </c>
      <c r="E10" s="155">
        <f>-147495</f>
        <v>-147495</v>
      </c>
      <c r="F10" s="155">
        <f>-92093</f>
        <v>-92093</v>
      </c>
      <c r="G10" s="155">
        <f>-121375</f>
        <v>-121375</v>
      </c>
      <c r="H10" s="155">
        <f>-157171</f>
        <v>-157171</v>
      </c>
      <c r="I10" s="155">
        <f>-244575</f>
        <v>-244575</v>
      </c>
      <c r="J10" s="155">
        <f>-164479</f>
        <v>-164479</v>
      </c>
      <c r="K10" s="155">
        <f>-274697</f>
        <v>-274697</v>
      </c>
      <c r="L10" s="155">
        <f>-190721</f>
        <v>-190721</v>
      </c>
      <c r="M10" s="155">
        <f>-199728</f>
        <v>-199728</v>
      </c>
      <c r="N10" s="155">
        <v>-166245</v>
      </c>
      <c r="O10" s="155">
        <v>-171806</v>
      </c>
      <c r="P10" s="155">
        <v>-165475</v>
      </c>
      <c r="R10" s="155">
        <v>-58913</v>
      </c>
      <c r="S10" s="155">
        <f t="shared" si="0"/>
        <v>-62462</v>
      </c>
      <c r="T10" s="155">
        <v>-80384</v>
      </c>
      <c r="U10" s="155">
        <f t="shared" ref="U10:U12" si="5">H10-T10</f>
        <v>-76787</v>
      </c>
      <c r="V10" s="155">
        <v>-82029</v>
      </c>
      <c r="W10" s="155">
        <f>I10-V10</f>
        <v>-162546</v>
      </c>
      <c r="X10" s="155">
        <v>-84167</v>
      </c>
      <c r="Y10" s="155">
        <f>J10-X10</f>
        <v>-80312</v>
      </c>
      <c r="Z10" s="155">
        <v>-154816</v>
      </c>
      <c r="AA10" s="155">
        <f>K10-Z10</f>
        <v>-119881</v>
      </c>
      <c r="AB10" s="155">
        <v>-123909</v>
      </c>
      <c r="AC10" s="155">
        <f>L10-AB10</f>
        <v>-66812</v>
      </c>
      <c r="AD10" s="155">
        <v>-61486</v>
      </c>
      <c r="AE10" s="155">
        <f>M10-AD10</f>
        <v>-138242</v>
      </c>
      <c r="AF10" s="155">
        <v>-88656</v>
      </c>
      <c r="AG10" s="155">
        <v>-77589</v>
      </c>
      <c r="AH10" s="155">
        <v>-79237</v>
      </c>
      <c r="AI10" s="155">
        <v>-92569</v>
      </c>
      <c r="AJ10" s="155">
        <v>-77682</v>
      </c>
      <c r="AK10" s="155">
        <f t="shared" si="1"/>
        <v>-87793</v>
      </c>
      <c r="AL10" s="155">
        <v>-95553</v>
      </c>
      <c r="AN10" s="173"/>
    </row>
    <row r="11" spans="2:40">
      <c r="B11" s="467"/>
      <c r="C11" s="34"/>
      <c r="D11" s="36" t="s">
        <v>605</v>
      </c>
      <c r="E11" s="155">
        <v>-34566</v>
      </c>
      <c r="F11" s="155">
        <f>-16684</f>
        <v>-16684</v>
      </c>
      <c r="G11" s="155">
        <v>-18580</v>
      </c>
      <c r="H11" s="155">
        <f>-21712</f>
        <v>-21712</v>
      </c>
      <c r="I11" s="155">
        <f>-27290</f>
        <v>-27290</v>
      </c>
      <c r="J11" s="155">
        <f>-22874</f>
        <v>-22874</v>
      </c>
      <c r="K11" s="155">
        <f>-30615</f>
        <v>-30615</v>
      </c>
      <c r="L11" s="155">
        <f>-18889</f>
        <v>-18889</v>
      </c>
      <c r="M11" s="155">
        <f>-14754</f>
        <v>-14754</v>
      </c>
      <c r="N11" s="155">
        <v>-17953</v>
      </c>
      <c r="O11" s="155">
        <v>-15798</v>
      </c>
      <c r="P11" s="155">
        <v>-10602</v>
      </c>
      <c r="R11" s="155">
        <v>-9565</v>
      </c>
      <c r="S11" s="155">
        <f t="shared" si="0"/>
        <v>-9015</v>
      </c>
      <c r="T11" s="155">
        <v>-11576</v>
      </c>
      <c r="U11" s="155">
        <f t="shared" si="5"/>
        <v>-10136</v>
      </c>
      <c r="V11" s="155">
        <v>-12404</v>
      </c>
      <c r="W11" s="155">
        <f>I11-V11</f>
        <v>-14886</v>
      </c>
      <c r="X11" s="155">
        <v>-11650</v>
      </c>
      <c r="Y11" s="155">
        <f>J11-X11</f>
        <v>-11224</v>
      </c>
      <c r="Z11" s="155">
        <v>-19355</v>
      </c>
      <c r="AA11" s="155">
        <f>K11-Z11</f>
        <v>-11260</v>
      </c>
      <c r="AB11" s="155">
        <v>-9238</v>
      </c>
      <c r="AC11" s="155">
        <f>L11-AB11</f>
        <v>-9651</v>
      </c>
      <c r="AD11" s="155">
        <v>-6861</v>
      </c>
      <c r="AE11" s="155">
        <f>M11-AD11</f>
        <v>-7893</v>
      </c>
      <c r="AF11" s="155">
        <v>-9751</v>
      </c>
      <c r="AG11" s="155">
        <v>-8202</v>
      </c>
      <c r="AH11" s="155">
        <v>-9314</v>
      </c>
      <c r="AI11" s="155">
        <v>-6484</v>
      </c>
      <c r="AJ11" s="155">
        <f>-6443</f>
        <v>-6443</v>
      </c>
      <c r="AK11" s="155">
        <f t="shared" si="1"/>
        <v>-4159</v>
      </c>
      <c r="AL11" s="155">
        <v>-4582</v>
      </c>
      <c r="AN11" s="173"/>
    </row>
    <row r="12" spans="2:40">
      <c r="B12" s="467"/>
      <c r="C12" s="34"/>
      <c r="D12" s="63" t="s">
        <v>5</v>
      </c>
      <c r="E12" s="156">
        <v>2194</v>
      </c>
      <c r="F12" s="156">
        <f>-1675</f>
        <v>-1675</v>
      </c>
      <c r="G12" s="156">
        <v>1012</v>
      </c>
      <c r="H12" s="156">
        <v>2209</v>
      </c>
      <c r="I12" s="156">
        <f>-2262</f>
        <v>-2262</v>
      </c>
      <c r="J12" s="156">
        <v>1318</v>
      </c>
      <c r="K12" s="156">
        <v>12053</v>
      </c>
      <c r="L12" s="156">
        <f>-4668</f>
        <v>-4668</v>
      </c>
      <c r="M12" s="156">
        <f>-68526</f>
        <v>-68526</v>
      </c>
      <c r="N12" s="156">
        <v>-71195</v>
      </c>
      <c r="O12" s="156">
        <v>-24477</v>
      </c>
      <c r="P12" s="156">
        <v>154</v>
      </c>
      <c r="R12" s="156">
        <v>2066</v>
      </c>
      <c r="S12" s="156">
        <f t="shared" si="0"/>
        <v>-1054</v>
      </c>
      <c r="T12" s="156">
        <v>1852</v>
      </c>
      <c r="U12" s="156">
        <f t="shared" si="5"/>
        <v>357</v>
      </c>
      <c r="V12" s="156">
        <v>-1693</v>
      </c>
      <c r="W12" s="156">
        <f>I12-V12</f>
        <v>-569</v>
      </c>
      <c r="X12" s="156">
        <v>2268</v>
      </c>
      <c r="Y12" s="156">
        <f>J12-X12</f>
        <v>-950</v>
      </c>
      <c r="Z12" s="156">
        <f>-1388</f>
        <v>-1388</v>
      </c>
      <c r="AA12" s="156">
        <f>K12-Z12</f>
        <v>13441</v>
      </c>
      <c r="AB12" s="156">
        <v>-6262</v>
      </c>
      <c r="AC12" s="156">
        <f>L12-AB12</f>
        <v>1594</v>
      </c>
      <c r="AD12" s="156">
        <v>-30926</v>
      </c>
      <c r="AE12" s="156">
        <f>M12-AD12</f>
        <v>-37600</v>
      </c>
      <c r="AF12" s="156">
        <v>-35856</v>
      </c>
      <c r="AG12" s="156">
        <v>-35339</v>
      </c>
      <c r="AH12" s="156">
        <v>4891</v>
      </c>
      <c r="AI12" s="156">
        <v>-29368</v>
      </c>
      <c r="AJ12" s="156">
        <f>-1053</f>
        <v>-1053</v>
      </c>
      <c r="AK12" s="156">
        <f t="shared" si="1"/>
        <v>1207</v>
      </c>
      <c r="AL12" s="156">
        <v>27</v>
      </c>
      <c r="AN12" s="173"/>
    </row>
    <row r="13" spans="2:40">
      <c r="B13" s="467"/>
      <c r="C13" s="34"/>
      <c r="D13" s="36" t="s">
        <v>6</v>
      </c>
      <c r="E13" s="155">
        <f t="shared" ref="E13:N13" si="6">SUM(E9:E12)</f>
        <v>220159</v>
      </c>
      <c r="F13" s="155">
        <f t="shared" si="6"/>
        <v>41733</v>
      </c>
      <c r="G13" s="155">
        <f t="shared" si="6"/>
        <v>100241</v>
      </c>
      <c r="H13" s="155">
        <f t="shared" si="6"/>
        <v>173075</v>
      </c>
      <c r="I13" s="155">
        <f t="shared" si="6"/>
        <v>103384</v>
      </c>
      <c r="J13" s="155">
        <f t="shared" si="6"/>
        <v>184701</v>
      </c>
      <c r="K13" s="155">
        <f>SUM(K9:K12)</f>
        <v>308978</v>
      </c>
      <c r="L13" s="155">
        <f t="shared" si="6"/>
        <v>224882</v>
      </c>
      <c r="M13" s="155">
        <f t="shared" si="6"/>
        <v>76673</v>
      </c>
      <c r="N13" s="155">
        <f t="shared" si="6"/>
        <v>105077</v>
      </c>
      <c r="O13" s="155">
        <f>SUM(O9:O12)</f>
        <v>153109</v>
      </c>
      <c r="P13" s="155">
        <f>SUM(P9:P12)</f>
        <v>200829</v>
      </c>
      <c r="R13" s="155">
        <f>SUM(R9:R12)</f>
        <v>28781</v>
      </c>
      <c r="S13" s="155">
        <f t="shared" si="0"/>
        <v>71460</v>
      </c>
      <c r="T13" s="155">
        <f t="shared" ref="T13:AL13" si="7">SUM(T9:T12)</f>
        <v>87829</v>
      </c>
      <c r="U13" s="155">
        <f t="shared" si="7"/>
        <v>85246</v>
      </c>
      <c r="V13" s="155">
        <f t="shared" si="7"/>
        <v>88339</v>
      </c>
      <c r="W13" s="155">
        <f t="shared" si="7"/>
        <v>15045</v>
      </c>
      <c r="X13" s="155">
        <f t="shared" si="7"/>
        <v>95346</v>
      </c>
      <c r="Y13" s="155">
        <f t="shared" si="7"/>
        <v>89355</v>
      </c>
      <c r="Z13" s="155">
        <f t="shared" si="7"/>
        <v>131004</v>
      </c>
      <c r="AA13" s="155">
        <f t="shared" si="7"/>
        <v>177974</v>
      </c>
      <c r="AB13" s="155">
        <f t="shared" si="7"/>
        <v>92254</v>
      </c>
      <c r="AC13" s="155">
        <f t="shared" si="7"/>
        <v>132628</v>
      </c>
      <c r="AD13" s="155">
        <f t="shared" si="7"/>
        <v>78692</v>
      </c>
      <c r="AE13" s="155">
        <f t="shared" si="7"/>
        <v>-2019</v>
      </c>
      <c r="AF13" s="155">
        <f t="shared" si="7"/>
        <v>43420</v>
      </c>
      <c r="AG13" s="155">
        <f t="shared" si="7"/>
        <v>61657</v>
      </c>
      <c r="AH13" s="155">
        <f t="shared" si="7"/>
        <v>105426</v>
      </c>
      <c r="AI13" s="155">
        <f t="shared" si="7"/>
        <v>47683</v>
      </c>
      <c r="AJ13" s="155">
        <f t="shared" si="7"/>
        <v>103991</v>
      </c>
      <c r="AK13" s="155">
        <f t="shared" si="7"/>
        <v>96838</v>
      </c>
      <c r="AL13" s="155">
        <f t="shared" si="7"/>
        <v>89593</v>
      </c>
      <c r="AN13" s="173"/>
    </row>
    <row r="14" spans="2:40">
      <c r="B14" s="467"/>
      <c r="C14" s="34"/>
      <c r="D14" s="36"/>
      <c r="E14" s="155"/>
      <c r="F14" s="155"/>
      <c r="G14" s="155"/>
      <c r="H14" s="155"/>
      <c r="I14" s="155"/>
      <c r="J14" s="155"/>
      <c r="K14" s="155"/>
      <c r="L14" s="155"/>
      <c r="M14" s="155"/>
      <c r="N14" s="155"/>
      <c r="O14" s="155"/>
      <c r="P14" s="155"/>
      <c r="R14" s="155"/>
      <c r="S14" s="155"/>
      <c r="T14" s="155"/>
      <c r="U14" s="155"/>
      <c r="V14" s="155"/>
      <c r="W14" s="155"/>
      <c r="X14" s="155"/>
      <c r="Y14" s="155"/>
      <c r="Z14" s="155"/>
      <c r="AA14" s="155"/>
      <c r="AB14" s="155"/>
      <c r="AC14" s="155"/>
      <c r="AD14" s="155"/>
      <c r="AE14" s="155"/>
      <c r="AF14" s="155"/>
      <c r="AG14" s="155"/>
      <c r="AH14" s="155"/>
      <c r="AI14" s="155"/>
      <c r="AJ14" s="155"/>
      <c r="AK14" s="155"/>
      <c r="AL14" s="155"/>
      <c r="AN14" s="173"/>
    </row>
    <row r="15" spans="2:40">
      <c r="B15" s="467"/>
      <c r="C15" s="34"/>
      <c r="D15" s="36" t="s">
        <v>9</v>
      </c>
      <c r="E15" s="155">
        <f>-22305</f>
        <v>-22305</v>
      </c>
      <c r="F15" s="155">
        <v>-9249</v>
      </c>
      <c r="G15" s="155">
        <f>-7324</f>
        <v>-7324</v>
      </c>
      <c r="H15" s="155">
        <f>-26169</f>
        <v>-26169</v>
      </c>
      <c r="I15" s="155">
        <f>-6377</f>
        <v>-6377</v>
      </c>
      <c r="J15" s="155">
        <f>-44452</f>
        <v>-44452</v>
      </c>
      <c r="K15" s="155">
        <f>-572133</f>
        <v>-572133</v>
      </c>
      <c r="L15" s="155">
        <f>-220496</f>
        <v>-220496</v>
      </c>
      <c r="M15" s="155">
        <v>112126</v>
      </c>
      <c r="N15" s="155">
        <v>-18842</v>
      </c>
      <c r="O15" s="155">
        <v>-187614</v>
      </c>
      <c r="P15" s="155">
        <v>-46624</v>
      </c>
      <c r="R15" s="171">
        <v>1917</v>
      </c>
      <c r="S15" s="171">
        <f t="shared" si="0"/>
        <v>-9241</v>
      </c>
      <c r="T15" s="171">
        <v>3246</v>
      </c>
      <c r="U15" s="171">
        <f t="shared" ref="U15:U17" si="8">H15-T15</f>
        <v>-29415</v>
      </c>
      <c r="V15" s="171">
        <v>-10262</v>
      </c>
      <c r="W15" s="171">
        <f t="shared" ref="W15:W17" si="9">I15-V15</f>
        <v>3885</v>
      </c>
      <c r="X15" s="171">
        <f>-32521</f>
        <v>-32521</v>
      </c>
      <c r="Y15" s="171">
        <f t="shared" ref="Y15:Y17" si="10">J15-X15</f>
        <v>-11931</v>
      </c>
      <c r="Z15" s="171">
        <v>-30533</v>
      </c>
      <c r="AA15" s="171">
        <f t="shared" ref="AA15:AA17" si="11">K15-Z15</f>
        <v>-541600</v>
      </c>
      <c r="AB15" s="171">
        <v>-26674</v>
      </c>
      <c r="AC15" s="155">
        <f t="shared" ref="AC15:AC19" si="12">L15-AB15</f>
        <v>-193822</v>
      </c>
      <c r="AD15" s="155">
        <v>94886</v>
      </c>
      <c r="AE15" s="155">
        <f t="shared" ref="AE15:AE19" si="13">M15-AD15</f>
        <v>17240</v>
      </c>
      <c r="AF15" s="155">
        <v>-11067</v>
      </c>
      <c r="AG15" s="155">
        <v>-7775</v>
      </c>
      <c r="AH15" s="155">
        <v>-91457</v>
      </c>
      <c r="AI15" s="155">
        <v>-96157</v>
      </c>
      <c r="AJ15" s="155">
        <f>-2338</f>
        <v>-2338</v>
      </c>
      <c r="AK15" s="155">
        <f t="shared" si="1"/>
        <v>-44286</v>
      </c>
      <c r="AL15" s="155">
        <v>-49965</v>
      </c>
      <c r="AN15" s="173"/>
    </row>
    <row r="16" spans="2:40">
      <c r="B16" s="467"/>
      <c r="C16" s="34"/>
      <c r="D16" s="36" t="s">
        <v>606</v>
      </c>
      <c r="E16" s="155">
        <v>7312</v>
      </c>
      <c r="F16" s="155">
        <v>4728</v>
      </c>
      <c r="G16" s="155">
        <v>4466</v>
      </c>
      <c r="H16" s="155">
        <v>3943</v>
      </c>
      <c r="I16" s="155">
        <v>4736</v>
      </c>
      <c r="J16" s="155">
        <v>6143</v>
      </c>
      <c r="K16" s="155">
        <v>7057</v>
      </c>
      <c r="L16" s="155">
        <v>2317</v>
      </c>
      <c r="M16" s="155">
        <v>4060</v>
      </c>
      <c r="N16" s="155">
        <v>2968</v>
      </c>
      <c r="O16" s="155">
        <v>3171</v>
      </c>
      <c r="P16" s="155">
        <v>2904</v>
      </c>
      <c r="R16" s="171">
        <v>2244</v>
      </c>
      <c r="S16" s="171">
        <f t="shared" si="0"/>
        <v>2222</v>
      </c>
      <c r="T16" s="171">
        <v>2346</v>
      </c>
      <c r="U16" s="171">
        <f t="shared" si="8"/>
        <v>1597</v>
      </c>
      <c r="V16" s="171">
        <v>1803</v>
      </c>
      <c r="W16" s="171">
        <f t="shared" si="9"/>
        <v>2933</v>
      </c>
      <c r="X16" s="171">
        <v>3341</v>
      </c>
      <c r="Y16" s="171">
        <f t="shared" si="10"/>
        <v>2802</v>
      </c>
      <c r="Z16" s="171">
        <v>5259</v>
      </c>
      <c r="AA16" s="171">
        <f t="shared" si="11"/>
        <v>1798</v>
      </c>
      <c r="AB16" s="171">
        <v>760</v>
      </c>
      <c r="AC16" s="155">
        <f t="shared" si="12"/>
        <v>1557</v>
      </c>
      <c r="AD16" s="155">
        <v>2523</v>
      </c>
      <c r="AE16" s="155">
        <f t="shared" si="13"/>
        <v>1537</v>
      </c>
      <c r="AF16" s="155">
        <v>1372</v>
      </c>
      <c r="AG16" s="155">
        <v>1596</v>
      </c>
      <c r="AH16" s="155">
        <v>1528</v>
      </c>
      <c r="AI16" s="155">
        <v>1643</v>
      </c>
      <c r="AJ16" s="155">
        <v>1549</v>
      </c>
      <c r="AK16" s="155">
        <f t="shared" si="1"/>
        <v>1355</v>
      </c>
      <c r="AL16" s="155">
        <v>837</v>
      </c>
      <c r="AN16" s="173"/>
    </row>
    <row r="17" spans="2:41">
      <c r="B17" s="467"/>
      <c r="C17" s="34"/>
      <c r="D17" s="36" t="s">
        <v>607</v>
      </c>
      <c r="E17" s="155">
        <f>-13437</f>
        <v>-13437</v>
      </c>
      <c r="F17" s="155">
        <v>-16903</v>
      </c>
      <c r="G17" s="155">
        <f>-16819</f>
        <v>-16819</v>
      </c>
      <c r="H17" s="155">
        <f>-16692</f>
        <v>-16692</v>
      </c>
      <c r="I17" s="155">
        <f>-20036</f>
        <v>-20036</v>
      </c>
      <c r="J17" s="155">
        <f>-28579</f>
        <v>-28579</v>
      </c>
      <c r="K17" s="155">
        <f>-98383</f>
        <v>-98383</v>
      </c>
      <c r="L17" s="155">
        <f>-65861</f>
        <v>-65861</v>
      </c>
      <c r="M17" s="155">
        <f>-102441</f>
        <v>-102441</v>
      </c>
      <c r="N17" s="155">
        <v>-92228</v>
      </c>
      <c r="O17" s="155">
        <v>-85851</v>
      </c>
      <c r="P17" s="155">
        <v>-85711</v>
      </c>
      <c r="R17" s="171">
        <v>-8070</v>
      </c>
      <c r="S17" s="171">
        <f t="shared" si="0"/>
        <v>-8749</v>
      </c>
      <c r="T17" s="171">
        <v>-8110</v>
      </c>
      <c r="U17" s="171">
        <f t="shared" si="8"/>
        <v>-8582</v>
      </c>
      <c r="V17" s="171">
        <v>-8328</v>
      </c>
      <c r="W17" s="171">
        <f t="shared" si="9"/>
        <v>-11708</v>
      </c>
      <c r="X17" s="171">
        <v>-15014</v>
      </c>
      <c r="Y17" s="171">
        <f t="shared" si="10"/>
        <v>-13565</v>
      </c>
      <c r="Z17" s="171">
        <v>-46194</v>
      </c>
      <c r="AA17" s="171">
        <f t="shared" si="11"/>
        <v>-52189</v>
      </c>
      <c r="AB17" s="171">
        <v>-39374</v>
      </c>
      <c r="AC17" s="155">
        <f t="shared" si="12"/>
        <v>-26487</v>
      </c>
      <c r="AD17" s="155">
        <v>-47280</v>
      </c>
      <c r="AE17" s="155">
        <f t="shared" si="13"/>
        <v>-55161</v>
      </c>
      <c r="AF17" s="155">
        <v>-46551</v>
      </c>
      <c r="AG17" s="155">
        <v>-45677</v>
      </c>
      <c r="AH17" s="155">
        <v>-44373</v>
      </c>
      <c r="AI17" s="155">
        <v>-41478</v>
      </c>
      <c r="AJ17" s="155">
        <f>-39408</f>
        <v>-39408</v>
      </c>
      <c r="AK17" s="155">
        <f t="shared" si="1"/>
        <v>-46303</v>
      </c>
      <c r="AL17" s="155">
        <v>-36767</v>
      </c>
      <c r="AN17" s="173"/>
    </row>
    <row r="18" spans="2:41">
      <c r="B18" s="467"/>
      <c r="C18" s="34"/>
      <c r="D18" s="36" t="s">
        <v>608</v>
      </c>
      <c r="E18" s="171">
        <v>0</v>
      </c>
      <c r="F18" s="171">
        <v>0</v>
      </c>
      <c r="G18" s="171">
        <v>0</v>
      </c>
      <c r="H18" s="171">
        <v>0</v>
      </c>
      <c r="I18" s="171">
        <v>0</v>
      </c>
      <c r="J18" s="171">
        <v>0</v>
      </c>
      <c r="K18" s="155">
        <v>0</v>
      </c>
      <c r="L18" s="173">
        <v>-5489</v>
      </c>
      <c r="M18" s="155">
        <v>64884</v>
      </c>
      <c r="N18" s="155">
        <v>42089</v>
      </c>
      <c r="O18" s="155">
        <v>-27509</v>
      </c>
      <c r="P18" s="155">
        <v>-9340</v>
      </c>
      <c r="R18" s="171">
        <v>0</v>
      </c>
      <c r="S18" s="171">
        <v>0</v>
      </c>
      <c r="T18" s="171">
        <v>0</v>
      </c>
      <c r="U18" s="171">
        <v>0</v>
      </c>
      <c r="V18" s="171">
        <v>0</v>
      </c>
      <c r="W18" s="171">
        <v>0</v>
      </c>
      <c r="X18" s="171">
        <v>0</v>
      </c>
      <c r="Y18" s="171">
        <v>0</v>
      </c>
      <c r="Z18" s="171">
        <v>0</v>
      </c>
      <c r="AA18" s="171">
        <v>0</v>
      </c>
      <c r="AB18" s="171">
        <v>0</v>
      </c>
      <c r="AC18" s="171">
        <f t="shared" si="12"/>
        <v>-5489</v>
      </c>
      <c r="AD18" s="155">
        <v>30209</v>
      </c>
      <c r="AE18" s="155">
        <f t="shared" si="13"/>
        <v>34675</v>
      </c>
      <c r="AF18" s="155">
        <v>18906</v>
      </c>
      <c r="AG18" s="155">
        <v>23183</v>
      </c>
      <c r="AH18" s="155">
        <v>-8745</v>
      </c>
      <c r="AI18" s="155">
        <v>-18764</v>
      </c>
      <c r="AJ18" s="155">
        <f>-496</f>
        <v>-496</v>
      </c>
      <c r="AK18" s="155">
        <f t="shared" si="1"/>
        <v>-8844</v>
      </c>
      <c r="AL18" s="155">
        <v>15951</v>
      </c>
      <c r="AN18" s="173"/>
    </row>
    <row r="19" spans="2:41">
      <c r="B19" s="467"/>
      <c r="C19" s="34"/>
      <c r="D19" s="36" t="s">
        <v>609</v>
      </c>
      <c r="E19" s="216" t="s">
        <v>694</v>
      </c>
      <c r="F19" s="216" t="s">
        <v>694</v>
      </c>
      <c r="G19" s="216" t="s">
        <v>694</v>
      </c>
      <c r="H19" s="216" t="s">
        <v>694</v>
      </c>
      <c r="I19" s="216" t="s">
        <v>694</v>
      </c>
      <c r="J19" s="216" t="s">
        <v>694</v>
      </c>
      <c r="K19" s="155">
        <v>-480807</v>
      </c>
      <c r="L19" s="155">
        <v>-151464</v>
      </c>
      <c r="M19" s="155">
        <v>146078</v>
      </c>
      <c r="N19" s="155">
        <v>28329</v>
      </c>
      <c r="O19" s="155">
        <v>-77425</v>
      </c>
      <c r="P19" s="155">
        <v>45523</v>
      </c>
      <c r="R19" s="216" t="s">
        <v>694</v>
      </c>
      <c r="S19" s="216" t="s">
        <v>694</v>
      </c>
      <c r="T19" s="216" t="s">
        <v>694</v>
      </c>
      <c r="U19" s="216" t="s">
        <v>694</v>
      </c>
      <c r="V19" s="216" t="s">
        <v>694</v>
      </c>
      <c r="W19" s="216" t="s">
        <v>694</v>
      </c>
      <c r="X19" s="216" t="s">
        <v>694</v>
      </c>
      <c r="Y19" s="216" t="s">
        <v>694</v>
      </c>
      <c r="Z19" s="216" t="s">
        <v>694</v>
      </c>
      <c r="AA19" s="216" t="s">
        <v>694</v>
      </c>
      <c r="AB19" s="171">
        <v>11940</v>
      </c>
      <c r="AC19" s="171">
        <f t="shared" si="12"/>
        <v>-163404</v>
      </c>
      <c r="AD19" s="155">
        <v>109434</v>
      </c>
      <c r="AE19" s="155">
        <f t="shared" si="13"/>
        <v>36644</v>
      </c>
      <c r="AF19" s="155">
        <v>15206</v>
      </c>
      <c r="AG19" s="155">
        <v>13123</v>
      </c>
      <c r="AH19" s="155">
        <v>-39867</v>
      </c>
      <c r="AI19" s="155">
        <v>-37557</v>
      </c>
      <c r="AJ19" s="155">
        <v>36017</v>
      </c>
      <c r="AK19" s="155">
        <f t="shared" si="1"/>
        <v>9506</v>
      </c>
      <c r="AL19" s="155">
        <v>-29986</v>
      </c>
      <c r="AN19" s="173"/>
    </row>
    <row r="20" spans="2:41">
      <c r="B20" s="467"/>
      <c r="C20" s="34"/>
      <c r="D20" s="36"/>
      <c r="E20" s="155"/>
      <c r="F20" s="155"/>
      <c r="G20" s="155"/>
      <c r="H20" s="155"/>
      <c r="I20" s="155"/>
      <c r="J20" s="155"/>
      <c r="K20" s="155"/>
      <c r="L20" s="155"/>
      <c r="M20" s="155"/>
      <c r="N20" s="155"/>
      <c r="O20" s="155"/>
      <c r="P20" s="155"/>
      <c r="R20" s="155"/>
      <c r="S20" s="155"/>
      <c r="T20" s="155"/>
      <c r="U20" s="155"/>
      <c r="V20" s="155"/>
      <c r="W20" s="155"/>
      <c r="X20" s="155"/>
      <c r="Y20" s="155"/>
      <c r="Z20" s="155"/>
      <c r="AA20" s="155"/>
      <c r="AB20" s="155"/>
      <c r="AC20" s="155"/>
      <c r="AD20" s="155"/>
      <c r="AE20" s="155"/>
      <c r="AF20" s="155"/>
      <c r="AG20" s="155"/>
      <c r="AH20" s="155"/>
      <c r="AI20" s="155"/>
      <c r="AJ20" s="155"/>
      <c r="AK20" s="155"/>
      <c r="AL20" s="155"/>
      <c r="AN20" s="173"/>
    </row>
    <row r="21" spans="2:41">
      <c r="B21" s="467"/>
      <c r="C21" s="34"/>
      <c r="D21" s="36" t="s">
        <v>610</v>
      </c>
      <c r="E21" s="155">
        <v>0</v>
      </c>
      <c r="F21" s="155">
        <v>0</v>
      </c>
      <c r="G21" s="155">
        <v>0</v>
      </c>
      <c r="H21" s="155">
        <v>0</v>
      </c>
      <c r="I21" s="155">
        <v>0</v>
      </c>
      <c r="J21" s="155">
        <v>0</v>
      </c>
      <c r="K21" s="155">
        <v>0</v>
      </c>
      <c r="L21" s="155">
        <v>0</v>
      </c>
      <c r="M21" s="155">
        <v>0</v>
      </c>
      <c r="N21" s="155">
        <v>0</v>
      </c>
      <c r="O21" s="155">
        <v>0</v>
      </c>
      <c r="P21" s="155">
        <v>0</v>
      </c>
      <c r="R21" s="155">
        <v>0</v>
      </c>
      <c r="S21" s="155">
        <v>0</v>
      </c>
      <c r="T21" s="155">
        <v>0</v>
      </c>
      <c r="U21" s="155">
        <v>0</v>
      </c>
      <c r="V21" s="155">
        <v>0</v>
      </c>
      <c r="W21" s="155">
        <v>0</v>
      </c>
      <c r="X21" s="155">
        <v>0</v>
      </c>
      <c r="Y21" s="155">
        <v>0</v>
      </c>
      <c r="Z21" s="155">
        <v>0</v>
      </c>
      <c r="AA21" s="155">
        <v>0</v>
      </c>
      <c r="AB21" s="155">
        <v>0</v>
      </c>
      <c r="AC21" s="155">
        <v>0</v>
      </c>
      <c r="AD21" s="155">
        <v>0</v>
      </c>
      <c r="AE21" s="155">
        <v>0</v>
      </c>
      <c r="AF21" s="155">
        <v>0</v>
      </c>
      <c r="AG21" s="155">
        <v>0</v>
      </c>
      <c r="AH21" s="155">
        <v>0</v>
      </c>
      <c r="AI21" s="155">
        <v>0</v>
      </c>
      <c r="AJ21" s="155">
        <v>0</v>
      </c>
      <c r="AK21" s="155">
        <f t="shared" si="1"/>
        <v>0</v>
      </c>
      <c r="AL21" s="155">
        <v>0</v>
      </c>
      <c r="AN21" s="173"/>
    </row>
    <row r="22" spans="2:41">
      <c r="B22" s="467"/>
      <c r="C22" s="34"/>
      <c r="D22" s="63"/>
      <c r="E22" s="156"/>
      <c r="F22" s="156"/>
      <c r="G22" s="156"/>
      <c r="H22" s="156"/>
      <c r="I22" s="156"/>
      <c r="J22" s="156"/>
      <c r="K22" s="156"/>
      <c r="L22" s="156"/>
      <c r="M22" s="156"/>
      <c r="N22" s="156"/>
      <c r="O22" s="156"/>
      <c r="P22" s="156"/>
      <c r="R22" s="156"/>
      <c r="S22" s="156"/>
      <c r="T22" s="156"/>
      <c r="U22" s="156"/>
      <c r="V22" s="156"/>
      <c r="W22" s="156"/>
      <c r="X22" s="156"/>
      <c r="Y22" s="156"/>
      <c r="Z22" s="156"/>
      <c r="AA22" s="156"/>
      <c r="AB22" s="156"/>
      <c r="AC22" s="156"/>
      <c r="AD22" s="156"/>
      <c r="AE22" s="156"/>
      <c r="AF22" s="156"/>
      <c r="AG22" s="156"/>
      <c r="AH22" s="156"/>
      <c r="AI22" s="156"/>
      <c r="AJ22" s="156"/>
      <c r="AK22" s="156"/>
      <c r="AL22" s="156"/>
      <c r="AN22" s="173"/>
    </row>
    <row r="23" spans="2:41">
      <c r="B23" s="467"/>
      <c r="C23" s="34"/>
      <c r="D23" s="36" t="s">
        <v>10</v>
      </c>
      <c r="E23" s="155">
        <f t="shared" ref="E23:N23" si="14">SUM(E13:E15,E21)</f>
        <v>197854</v>
      </c>
      <c r="F23" s="155">
        <f t="shared" si="14"/>
        <v>32484</v>
      </c>
      <c r="G23" s="155">
        <f t="shared" si="14"/>
        <v>92917</v>
      </c>
      <c r="H23" s="155">
        <f t="shared" si="14"/>
        <v>146906</v>
      </c>
      <c r="I23" s="155">
        <f t="shared" si="14"/>
        <v>97007</v>
      </c>
      <c r="J23" s="155">
        <f t="shared" si="14"/>
        <v>140249</v>
      </c>
      <c r="K23" s="155">
        <f t="shared" si="14"/>
        <v>-263155</v>
      </c>
      <c r="L23" s="155">
        <f t="shared" si="14"/>
        <v>4386</v>
      </c>
      <c r="M23" s="155">
        <f t="shared" si="14"/>
        <v>188799</v>
      </c>
      <c r="N23" s="155">
        <f t="shared" si="14"/>
        <v>86235</v>
      </c>
      <c r="O23" s="155">
        <f>SUM(O13:O15,O21)</f>
        <v>-34505</v>
      </c>
      <c r="P23" s="155">
        <v>154205</v>
      </c>
      <c r="R23" s="155">
        <f t="shared" ref="R23:AI23" si="15">SUM(R13:R15,R21)</f>
        <v>30698</v>
      </c>
      <c r="S23" s="155">
        <f t="shared" si="0"/>
        <v>62219</v>
      </c>
      <c r="T23" s="155">
        <f t="shared" si="15"/>
        <v>91075</v>
      </c>
      <c r="U23" s="155">
        <f t="shared" si="15"/>
        <v>55831</v>
      </c>
      <c r="V23" s="155">
        <f t="shared" si="15"/>
        <v>78077</v>
      </c>
      <c r="W23" s="155">
        <f t="shared" ref="W23:Y23" si="16">SUM(W13:W15,W21)</f>
        <v>18930</v>
      </c>
      <c r="X23" s="155">
        <f t="shared" si="15"/>
        <v>62825</v>
      </c>
      <c r="Y23" s="155">
        <f t="shared" si="16"/>
        <v>77424</v>
      </c>
      <c r="Z23" s="155">
        <f t="shared" si="15"/>
        <v>100471</v>
      </c>
      <c r="AA23" s="155">
        <f t="shared" si="15"/>
        <v>-363626</v>
      </c>
      <c r="AB23" s="155">
        <f t="shared" si="15"/>
        <v>65580</v>
      </c>
      <c r="AC23" s="155">
        <f t="shared" si="15"/>
        <v>-61194</v>
      </c>
      <c r="AD23" s="155">
        <f t="shared" si="15"/>
        <v>173578</v>
      </c>
      <c r="AE23" s="155">
        <f t="shared" si="15"/>
        <v>15221</v>
      </c>
      <c r="AF23" s="155">
        <f t="shared" si="15"/>
        <v>32353</v>
      </c>
      <c r="AG23" s="155">
        <f t="shared" si="15"/>
        <v>53882</v>
      </c>
      <c r="AH23" s="155">
        <f t="shared" si="15"/>
        <v>13969</v>
      </c>
      <c r="AI23" s="155">
        <f t="shared" si="15"/>
        <v>-48474</v>
      </c>
      <c r="AJ23" s="155">
        <f>SUM(AJ13:AJ15,AJ21)</f>
        <v>101653</v>
      </c>
      <c r="AK23" s="155">
        <f t="shared" ref="AK23:AL23" si="17">SUM(AK13:AK15,AK21)</f>
        <v>52552</v>
      </c>
      <c r="AL23" s="155">
        <f t="shared" si="17"/>
        <v>39628</v>
      </c>
      <c r="AN23" s="173"/>
    </row>
    <row r="24" spans="2:41">
      <c r="B24" s="467"/>
      <c r="C24" s="34"/>
      <c r="D24" s="41" t="s">
        <v>11</v>
      </c>
      <c r="E24" s="154">
        <f>-44273</f>
        <v>-44273</v>
      </c>
      <c r="F24" s="154">
        <v>-7769</v>
      </c>
      <c r="G24" s="154">
        <f>-22199</f>
        <v>-22199</v>
      </c>
      <c r="H24" s="154">
        <f>-26151</f>
        <v>-26151</v>
      </c>
      <c r="I24" s="154">
        <f>-28675</f>
        <v>-28675</v>
      </c>
      <c r="J24" s="154">
        <f>-40156</f>
        <v>-40156</v>
      </c>
      <c r="K24" s="154">
        <v>25631</v>
      </c>
      <c r="L24" s="154">
        <f>-8244</f>
        <v>-8244</v>
      </c>
      <c r="M24" s="154">
        <f>-51132</f>
        <v>-51132</v>
      </c>
      <c r="N24" s="154">
        <v>-31923</v>
      </c>
      <c r="O24" s="154">
        <v>-4210</v>
      </c>
      <c r="P24" s="154">
        <v>-28410</v>
      </c>
      <c r="R24" s="154">
        <v>-6577</v>
      </c>
      <c r="S24" s="154">
        <f t="shared" si="0"/>
        <v>-15622</v>
      </c>
      <c r="T24" s="154">
        <v>-20080</v>
      </c>
      <c r="U24" s="154">
        <f>H24-T24</f>
        <v>-6071</v>
      </c>
      <c r="V24" s="154">
        <v>-23826</v>
      </c>
      <c r="W24" s="154">
        <f>I24-V24</f>
        <v>-4849</v>
      </c>
      <c r="X24" s="154">
        <v>-19636</v>
      </c>
      <c r="Y24" s="154">
        <f>J24-X24</f>
        <v>-20520</v>
      </c>
      <c r="Z24" s="154">
        <v>-34581</v>
      </c>
      <c r="AA24" s="154">
        <f>K24-Z24</f>
        <v>60212</v>
      </c>
      <c r="AB24" s="154">
        <v>-21378</v>
      </c>
      <c r="AC24" s="154">
        <f>L24-AB24</f>
        <v>13134</v>
      </c>
      <c r="AD24" s="154">
        <v>-40868</v>
      </c>
      <c r="AE24" s="154">
        <f>M24-AD24</f>
        <v>-10264</v>
      </c>
      <c r="AF24" s="154">
        <v>-16598</v>
      </c>
      <c r="AG24" s="154">
        <v>-15325</v>
      </c>
      <c r="AH24" s="154">
        <v>-3812</v>
      </c>
      <c r="AI24" s="154">
        <v>-398</v>
      </c>
      <c r="AJ24" s="154">
        <f>-19262</f>
        <v>-19262</v>
      </c>
      <c r="AK24" s="154">
        <f t="shared" si="1"/>
        <v>-9148</v>
      </c>
      <c r="AL24" s="154">
        <v>-5077</v>
      </c>
      <c r="AN24" s="173"/>
    </row>
    <row r="25" spans="2:41">
      <c r="B25" s="467"/>
      <c r="C25" s="34"/>
      <c r="D25" s="32" t="s">
        <v>611</v>
      </c>
      <c r="E25" s="160">
        <f t="shared" ref="E25:N25" si="18">E23+E24</f>
        <v>153581</v>
      </c>
      <c r="F25" s="160">
        <f t="shared" si="18"/>
        <v>24715</v>
      </c>
      <c r="G25" s="160">
        <f t="shared" si="18"/>
        <v>70718</v>
      </c>
      <c r="H25" s="160">
        <f t="shared" si="18"/>
        <v>120755</v>
      </c>
      <c r="I25" s="160">
        <f t="shared" si="18"/>
        <v>68332</v>
      </c>
      <c r="J25" s="160">
        <f t="shared" si="18"/>
        <v>100093</v>
      </c>
      <c r="K25" s="160">
        <f t="shared" si="18"/>
        <v>-237524</v>
      </c>
      <c r="L25" s="160">
        <f t="shared" si="18"/>
        <v>-3858</v>
      </c>
      <c r="M25" s="160">
        <f t="shared" si="18"/>
        <v>137667</v>
      </c>
      <c r="N25" s="160">
        <f t="shared" si="18"/>
        <v>54312</v>
      </c>
      <c r="O25" s="160">
        <f>O23+O24</f>
        <v>-38715</v>
      </c>
      <c r="P25" s="160">
        <v>125795</v>
      </c>
      <c r="R25" s="160">
        <f t="shared" ref="R25:AK25" si="19">R23+R24</f>
        <v>24121</v>
      </c>
      <c r="S25" s="160">
        <f t="shared" si="0"/>
        <v>46597</v>
      </c>
      <c r="T25" s="160">
        <f t="shared" si="19"/>
        <v>70995</v>
      </c>
      <c r="U25" s="160">
        <f t="shared" si="19"/>
        <v>49760</v>
      </c>
      <c r="V25" s="160">
        <f t="shared" si="19"/>
        <v>54251</v>
      </c>
      <c r="W25" s="160">
        <f t="shared" si="19"/>
        <v>14081</v>
      </c>
      <c r="X25" s="160">
        <f t="shared" si="19"/>
        <v>43189</v>
      </c>
      <c r="Y25" s="160">
        <f t="shared" si="19"/>
        <v>56904</v>
      </c>
      <c r="Z25" s="160">
        <f t="shared" si="19"/>
        <v>65890</v>
      </c>
      <c r="AA25" s="160">
        <f t="shared" si="19"/>
        <v>-303414</v>
      </c>
      <c r="AB25" s="160">
        <f t="shared" si="19"/>
        <v>44202</v>
      </c>
      <c r="AC25" s="160">
        <f t="shared" si="19"/>
        <v>-48060</v>
      </c>
      <c r="AD25" s="160">
        <f t="shared" si="19"/>
        <v>132710</v>
      </c>
      <c r="AE25" s="160">
        <f t="shared" si="19"/>
        <v>4957</v>
      </c>
      <c r="AF25" s="160">
        <f t="shared" si="19"/>
        <v>15755</v>
      </c>
      <c r="AG25" s="160">
        <f t="shared" si="19"/>
        <v>38557</v>
      </c>
      <c r="AH25" s="160">
        <f t="shared" si="19"/>
        <v>10157</v>
      </c>
      <c r="AI25" s="160">
        <f t="shared" si="19"/>
        <v>-48872</v>
      </c>
      <c r="AJ25" s="160">
        <f t="shared" si="19"/>
        <v>82391</v>
      </c>
      <c r="AK25" s="160">
        <f t="shared" si="19"/>
        <v>43404</v>
      </c>
      <c r="AL25" s="160">
        <f>AL23+AL24</f>
        <v>34551</v>
      </c>
      <c r="AN25" s="173"/>
    </row>
    <row r="26" spans="2:41">
      <c r="B26" s="467"/>
      <c r="C26" s="34"/>
      <c r="D26" s="35"/>
      <c r="E26" s="157"/>
      <c r="F26" s="157"/>
      <c r="G26" s="157"/>
      <c r="H26" s="157"/>
      <c r="I26" s="157"/>
      <c r="J26" s="157"/>
      <c r="K26" s="157"/>
      <c r="L26" s="157"/>
      <c r="M26" s="157"/>
      <c r="N26" s="157"/>
      <c r="O26" s="157"/>
      <c r="P26" s="157"/>
      <c r="R26" s="157"/>
      <c r="S26" s="157">
        <f t="shared" si="0"/>
        <v>0</v>
      </c>
      <c r="T26" s="157"/>
      <c r="U26" s="157"/>
      <c r="V26" s="157"/>
      <c r="W26" s="157"/>
      <c r="X26" s="157"/>
      <c r="Y26" s="157"/>
      <c r="Z26" s="157"/>
      <c r="AA26" s="157"/>
      <c r="AB26" s="157"/>
      <c r="AC26" s="157"/>
      <c r="AD26" s="157"/>
      <c r="AE26" s="157"/>
      <c r="AF26" s="157"/>
      <c r="AG26" s="157"/>
      <c r="AH26" s="157"/>
      <c r="AI26" s="157"/>
      <c r="AJ26" s="157"/>
      <c r="AK26" s="157"/>
      <c r="AL26" s="157"/>
      <c r="AN26" s="173"/>
    </row>
    <row r="27" spans="2:41">
      <c r="B27" s="467"/>
      <c r="C27" s="34"/>
      <c r="D27" s="63" t="s">
        <v>612</v>
      </c>
      <c r="E27" s="156">
        <v>164164</v>
      </c>
      <c r="F27" s="156">
        <v>53674</v>
      </c>
      <c r="G27" s="156">
        <v>47738</v>
      </c>
      <c r="H27" s="156">
        <v>117694</v>
      </c>
      <c r="I27" s="156">
        <v>65994</v>
      </c>
      <c r="J27" s="156">
        <v>64584</v>
      </c>
      <c r="K27" s="156">
        <v>25183</v>
      </c>
      <c r="L27" s="156">
        <v>12073</v>
      </c>
      <c r="M27" s="156">
        <v>18386</v>
      </c>
      <c r="N27" s="156">
        <v>28477</v>
      </c>
      <c r="O27" s="156">
        <v>41618</v>
      </c>
      <c r="P27" s="156">
        <v>27662</v>
      </c>
      <c r="R27" s="156">
        <v>13908</v>
      </c>
      <c r="S27" s="156">
        <f t="shared" si="0"/>
        <v>33830</v>
      </c>
      <c r="T27" s="156">
        <v>46037</v>
      </c>
      <c r="U27" s="156">
        <f>H27-T27</f>
        <v>71657</v>
      </c>
      <c r="V27" s="156">
        <v>25893</v>
      </c>
      <c r="W27" s="156">
        <f>I27-V27</f>
        <v>40101</v>
      </c>
      <c r="X27" s="156">
        <v>18456</v>
      </c>
      <c r="Y27" s="156">
        <f>J27-X27</f>
        <v>46128</v>
      </c>
      <c r="Z27" s="156">
        <v>13535</v>
      </c>
      <c r="AA27" s="156">
        <f>K27-Z27</f>
        <v>11648</v>
      </c>
      <c r="AB27" s="156">
        <v>4840</v>
      </c>
      <c r="AC27" s="156">
        <f>L27-AB27</f>
        <v>7233</v>
      </c>
      <c r="AD27" s="156">
        <v>4469</v>
      </c>
      <c r="AE27" s="156">
        <f>M27-AD27</f>
        <v>13917</v>
      </c>
      <c r="AF27" s="156">
        <v>7881</v>
      </c>
      <c r="AG27" s="156">
        <v>20596</v>
      </c>
      <c r="AH27" s="156">
        <v>13787</v>
      </c>
      <c r="AI27" s="156">
        <v>27831</v>
      </c>
      <c r="AJ27" s="156">
        <v>5288</v>
      </c>
      <c r="AK27" s="156">
        <f t="shared" si="1"/>
        <v>22374</v>
      </c>
      <c r="AL27" s="156">
        <v>7665</v>
      </c>
      <c r="AN27" s="173"/>
    </row>
    <row r="28" spans="2:41">
      <c r="B28" s="467"/>
      <c r="C28" s="34"/>
      <c r="D28" s="36"/>
      <c r="E28" s="155"/>
      <c r="F28" s="155"/>
      <c r="G28" s="155"/>
      <c r="H28" s="155"/>
      <c r="I28" s="155"/>
      <c r="J28" s="155"/>
      <c r="K28" s="155"/>
      <c r="L28" s="155"/>
      <c r="M28" s="155"/>
      <c r="N28" s="155"/>
      <c r="O28" s="155"/>
      <c r="P28" s="155"/>
      <c r="R28" s="155"/>
      <c r="S28" s="155">
        <f t="shared" si="0"/>
        <v>0</v>
      </c>
      <c r="T28" s="155"/>
      <c r="U28" s="155"/>
      <c r="V28" s="155"/>
      <c r="W28" s="155"/>
      <c r="X28" s="155"/>
      <c r="Y28" s="155"/>
      <c r="Z28" s="155"/>
      <c r="AA28" s="155"/>
      <c r="AB28" s="155"/>
      <c r="AC28" s="155"/>
      <c r="AD28" s="155"/>
      <c r="AE28" s="155"/>
      <c r="AF28" s="155"/>
      <c r="AG28" s="155"/>
      <c r="AH28" s="155"/>
      <c r="AI28" s="155"/>
      <c r="AJ28" s="155"/>
      <c r="AK28" s="155"/>
      <c r="AL28" s="155"/>
      <c r="AN28" s="173"/>
    </row>
    <row r="29" spans="2:41">
      <c r="B29" s="467"/>
      <c r="C29" s="34"/>
      <c r="D29" s="36" t="s">
        <v>613</v>
      </c>
      <c r="E29" s="155">
        <v>795313</v>
      </c>
      <c r="F29" s="155">
        <v>805824</v>
      </c>
      <c r="G29" s="155">
        <v>808628</v>
      </c>
      <c r="H29" s="155">
        <v>838684</v>
      </c>
      <c r="I29" s="155">
        <v>849053</v>
      </c>
      <c r="J29" s="155">
        <v>1442506</v>
      </c>
      <c r="K29" s="155">
        <v>781718</v>
      </c>
      <c r="L29" s="155">
        <v>535067</v>
      </c>
      <c r="M29" s="155">
        <v>620977</v>
      </c>
      <c r="N29" s="155">
        <v>627910</v>
      </c>
      <c r="O29" s="155">
        <v>494794</v>
      </c>
      <c r="P29" s="155">
        <v>533141</v>
      </c>
      <c r="R29" s="155">
        <v>780039</v>
      </c>
      <c r="S29" s="155">
        <f>G29</f>
        <v>808628</v>
      </c>
      <c r="T29" s="155">
        <v>906664</v>
      </c>
      <c r="U29" s="155">
        <f>H29</f>
        <v>838684</v>
      </c>
      <c r="V29" s="155">
        <v>834547</v>
      </c>
      <c r="W29" s="155">
        <f>I29</f>
        <v>849053</v>
      </c>
      <c r="X29" s="155">
        <v>805646</v>
      </c>
      <c r="Y29" s="155">
        <f>J29</f>
        <v>1442506</v>
      </c>
      <c r="Z29" s="155">
        <v>1349723</v>
      </c>
      <c r="AA29" s="155">
        <f>K29</f>
        <v>781718</v>
      </c>
      <c r="AB29" s="155">
        <v>722794</v>
      </c>
      <c r="AC29" s="155">
        <f>L29</f>
        <v>535067</v>
      </c>
      <c r="AD29" s="155">
        <v>592204</v>
      </c>
      <c r="AE29" s="155">
        <f>M29</f>
        <v>620977</v>
      </c>
      <c r="AF29" s="155">
        <v>613085</v>
      </c>
      <c r="AG29" s="155">
        <f>N29</f>
        <v>627910</v>
      </c>
      <c r="AH29" s="155">
        <v>570893</v>
      </c>
      <c r="AI29" s="155">
        <f>O29</f>
        <v>494794</v>
      </c>
      <c r="AJ29" s="155">
        <v>522633</v>
      </c>
      <c r="AK29" s="155">
        <f>P29</f>
        <v>533141</v>
      </c>
      <c r="AL29" s="155">
        <v>465338</v>
      </c>
      <c r="AN29" s="173"/>
      <c r="AO29" s="173"/>
    </row>
    <row r="30" spans="2:41">
      <c r="B30" s="467"/>
      <c r="C30" s="34"/>
      <c r="D30" s="36" t="s">
        <v>720</v>
      </c>
      <c r="E30" s="216" t="s">
        <v>694</v>
      </c>
      <c r="F30" s="216" t="s">
        <v>694</v>
      </c>
      <c r="G30" s="216" t="s">
        <v>694</v>
      </c>
      <c r="H30" s="216" t="s">
        <v>694</v>
      </c>
      <c r="I30" s="216" t="s">
        <v>694</v>
      </c>
      <c r="J30" s="216" t="s">
        <v>694</v>
      </c>
      <c r="K30" s="216" t="s">
        <v>694</v>
      </c>
      <c r="L30" s="216" t="s">
        <v>694</v>
      </c>
      <c r="M30" s="216" t="s">
        <v>694</v>
      </c>
      <c r="N30" s="216" t="s">
        <v>694</v>
      </c>
      <c r="O30" s="216" t="s">
        <v>694</v>
      </c>
      <c r="P30" s="401">
        <v>641689</v>
      </c>
      <c r="R30" s="216" t="s">
        <v>694</v>
      </c>
      <c r="S30" s="216" t="s">
        <v>694</v>
      </c>
      <c r="T30" s="216" t="s">
        <v>694</v>
      </c>
      <c r="U30" s="216" t="s">
        <v>694</v>
      </c>
      <c r="V30" s="216" t="s">
        <v>694</v>
      </c>
      <c r="W30" s="216" t="s">
        <v>694</v>
      </c>
      <c r="X30" s="216" t="s">
        <v>694</v>
      </c>
      <c r="Y30" s="216" t="s">
        <v>694</v>
      </c>
      <c r="Z30" s="216" t="s">
        <v>694</v>
      </c>
      <c r="AA30" s="216" t="s">
        <v>694</v>
      </c>
      <c r="AB30" s="216" t="s">
        <v>694</v>
      </c>
      <c r="AC30" s="216" t="s">
        <v>694</v>
      </c>
      <c r="AD30" s="216" t="s">
        <v>694</v>
      </c>
      <c r="AE30" s="216" t="s">
        <v>694</v>
      </c>
      <c r="AF30" s="216" t="s">
        <v>694</v>
      </c>
      <c r="AG30" s="216" t="s">
        <v>694</v>
      </c>
      <c r="AH30" s="216" t="s">
        <v>694</v>
      </c>
      <c r="AI30" s="216" t="s">
        <v>694</v>
      </c>
      <c r="AJ30" s="155">
        <v>634322</v>
      </c>
      <c r="AK30" s="155">
        <f t="shared" ref="AK30:AK46" si="20">P30</f>
        <v>641689</v>
      </c>
      <c r="AL30" s="155">
        <v>563248</v>
      </c>
      <c r="AN30" s="173"/>
      <c r="AO30" s="173"/>
    </row>
    <row r="31" spans="2:41">
      <c r="B31" s="467"/>
      <c r="C31" s="34"/>
      <c r="D31" s="36" t="s">
        <v>22</v>
      </c>
      <c r="E31" s="155">
        <v>0</v>
      </c>
      <c r="F31" s="155">
        <v>0</v>
      </c>
      <c r="G31" s="155">
        <v>0</v>
      </c>
      <c r="H31" s="155">
        <v>0</v>
      </c>
      <c r="I31" s="155">
        <v>0</v>
      </c>
      <c r="J31" s="155">
        <v>0</v>
      </c>
      <c r="K31" s="155">
        <v>0</v>
      </c>
      <c r="L31" s="155">
        <v>0</v>
      </c>
      <c r="M31" s="155">
        <v>0</v>
      </c>
      <c r="N31" s="155">
        <v>784</v>
      </c>
      <c r="O31" s="155">
        <v>784</v>
      </c>
      <c r="P31" s="155">
        <v>784</v>
      </c>
      <c r="R31" s="155">
        <v>0</v>
      </c>
      <c r="S31" s="155">
        <v>0</v>
      </c>
      <c r="T31" s="155">
        <v>0</v>
      </c>
      <c r="U31" s="155">
        <v>0</v>
      </c>
      <c r="V31" s="155">
        <v>0</v>
      </c>
      <c r="W31" s="155">
        <v>0</v>
      </c>
      <c r="X31" s="155">
        <v>0</v>
      </c>
      <c r="Y31" s="155">
        <v>0</v>
      </c>
      <c r="Z31" s="155">
        <v>0</v>
      </c>
      <c r="AA31" s="155">
        <v>0</v>
      </c>
      <c r="AB31" s="155">
        <v>0</v>
      </c>
      <c r="AC31" s="155">
        <v>0</v>
      </c>
      <c r="AD31" s="155">
        <v>0</v>
      </c>
      <c r="AE31" s="155">
        <v>0</v>
      </c>
      <c r="AF31" s="155">
        <v>0</v>
      </c>
      <c r="AG31" s="155">
        <f t="shared" ref="AG31:AG46" si="21">N31</f>
        <v>784</v>
      </c>
      <c r="AH31" s="155">
        <v>784</v>
      </c>
      <c r="AI31" s="155">
        <f t="shared" ref="AI31:AI46" si="22">O31</f>
        <v>784</v>
      </c>
      <c r="AJ31" s="155">
        <v>784</v>
      </c>
      <c r="AK31" s="155">
        <f t="shared" si="20"/>
        <v>784</v>
      </c>
      <c r="AL31" s="155">
        <v>784</v>
      </c>
      <c r="AN31" s="173"/>
      <c r="AO31" s="173"/>
    </row>
    <row r="32" spans="2:41">
      <c r="B32" s="467"/>
      <c r="C32" s="34"/>
      <c r="D32" s="36" t="s">
        <v>21</v>
      </c>
      <c r="E32" s="155">
        <v>0</v>
      </c>
      <c r="F32" s="155">
        <v>0</v>
      </c>
      <c r="G32" s="155">
        <v>0</v>
      </c>
      <c r="H32" s="155">
        <v>0</v>
      </c>
      <c r="I32" s="155">
        <v>0</v>
      </c>
      <c r="J32" s="155">
        <v>1492026</v>
      </c>
      <c r="K32" s="155">
        <v>851618</v>
      </c>
      <c r="L32" s="155">
        <v>645249</v>
      </c>
      <c r="M32" s="155">
        <v>693100</v>
      </c>
      <c r="N32" s="155">
        <v>718925</v>
      </c>
      <c r="O32" s="155">
        <v>566045</v>
      </c>
      <c r="P32" s="155">
        <v>15225</v>
      </c>
      <c r="R32" s="155">
        <v>0</v>
      </c>
      <c r="S32" s="155">
        <f t="shared" ref="S32:S46" si="23">G32</f>
        <v>0</v>
      </c>
      <c r="T32" s="155">
        <v>0</v>
      </c>
      <c r="U32" s="155">
        <v>0</v>
      </c>
      <c r="V32" s="155">
        <v>0</v>
      </c>
      <c r="W32" s="155">
        <v>0</v>
      </c>
      <c r="X32" s="155">
        <v>0</v>
      </c>
      <c r="Y32" s="155">
        <f t="shared" ref="Y32:Y46" si="24">J32</f>
        <v>1492026</v>
      </c>
      <c r="Z32" s="155">
        <v>1438116</v>
      </c>
      <c r="AA32" s="155">
        <f t="shared" ref="AA32:AA46" si="25">K32</f>
        <v>851618</v>
      </c>
      <c r="AB32" s="155">
        <v>854923</v>
      </c>
      <c r="AC32" s="155">
        <f t="shared" ref="AC32:AC46" si="26">L32</f>
        <v>645249</v>
      </c>
      <c r="AD32" s="155">
        <v>725016</v>
      </c>
      <c r="AE32" s="155">
        <f t="shared" ref="AE32:AE46" si="27">M32</f>
        <v>693100</v>
      </c>
      <c r="AF32" s="155">
        <v>707273</v>
      </c>
      <c r="AG32" s="155">
        <f t="shared" si="21"/>
        <v>718925</v>
      </c>
      <c r="AH32" s="155">
        <v>653494</v>
      </c>
      <c r="AI32" s="155">
        <f t="shared" si="22"/>
        <v>566045</v>
      </c>
      <c r="AJ32" s="155">
        <v>15590</v>
      </c>
      <c r="AK32" s="155">
        <f t="shared" si="20"/>
        <v>15225</v>
      </c>
      <c r="AL32" s="155">
        <v>13741</v>
      </c>
      <c r="AN32" s="173"/>
      <c r="AO32" s="173"/>
    </row>
    <row r="33" spans="2:41">
      <c r="B33" s="467"/>
      <c r="C33" s="34"/>
      <c r="D33" s="36" t="s">
        <v>614</v>
      </c>
      <c r="E33" s="155">
        <v>163389</v>
      </c>
      <c r="F33" s="155">
        <v>187002</v>
      </c>
      <c r="G33" s="155">
        <v>172117</v>
      </c>
      <c r="H33" s="155">
        <v>151591</v>
      </c>
      <c r="I33" s="155">
        <v>238119</v>
      </c>
      <c r="J33" s="155">
        <v>87302</v>
      </c>
      <c r="K33" s="155">
        <v>1097253</v>
      </c>
      <c r="L33" s="155">
        <v>1151126</v>
      </c>
      <c r="M33" s="155">
        <v>112095</v>
      </c>
      <c r="N33" s="155">
        <v>148023</v>
      </c>
      <c r="O33" s="155">
        <v>106976</v>
      </c>
      <c r="P33" s="155">
        <v>103126</v>
      </c>
      <c r="R33" s="155">
        <v>178617</v>
      </c>
      <c r="S33" s="155">
        <f t="shared" si="23"/>
        <v>172117</v>
      </c>
      <c r="T33" s="155">
        <v>213217</v>
      </c>
      <c r="U33" s="155">
        <f t="shared" ref="U33:U46" si="28">H33</f>
        <v>151591</v>
      </c>
      <c r="V33" s="155">
        <v>151086</v>
      </c>
      <c r="W33" s="155">
        <f t="shared" ref="W33:W46" si="29">I33</f>
        <v>238119</v>
      </c>
      <c r="X33" s="155">
        <v>177096</v>
      </c>
      <c r="Y33" s="155">
        <f t="shared" si="24"/>
        <v>87302</v>
      </c>
      <c r="Z33" s="155">
        <v>1059916</v>
      </c>
      <c r="AA33" s="155">
        <f t="shared" si="25"/>
        <v>1097253</v>
      </c>
      <c r="AB33" s="155">
        <v>1067499</v>
      </c>
      <c r="AC33" s="155">
        <f t="shared" si="26"/>
        <v>1151126</v>
      </c>
      <c r="AD33" s="155">
        <v>47925</v>
      </c>
      <c r="AE33" s="155">
        <f t="shared" si="27"/>
        <v>112095</v>
      </c>
      <c r="AF33" s="155">
        <v>116581</v>
      </c>
      <c r="AG33" s="155">
        <f t="shared" si="21"/>
        <v>148023</v>
      </c>
      <c r="AH33" s="155">
        <v>136477</v>
      </c>
      <c r="AI33" s="155">
        <f t="shared" si="22"/>
        <v>106976</v>
      </c>
      <c r="AJ33" s="155">
        <v>99537</v>
      </c>
      <c r="AK33" s="155">
        <f t="shared" si="20"/>
        <v>103126</v>
      </c>
      <c r="AL33" s="155">
        <v>89582</v>
      </c>
      <c r="AN33" s="173"/>
      <c r="AO33" s="173"/>
    </row>
    <row r="34" spans="2:41">
      <c r="B34" s="467"/>
      <c r="C34" s="34"/>
      <c r="D34" s="36" t="s">
        <v>28</v>
      </c>
      <c r="E34" s="155">
        <v>6277</v>
      </c>
      <c r="F34" s="155">
        <v>5263</v>
      </c>
      <c r="G34" s="155">
        <v>5064</v>
      </c>
      <c r="H34" s="155">
        <v>5094</v>
      </c>
      <c r="I34" s="155">
        <v>4825</v>
      </c>
      <c r="J34" s="155">
        <v>8151</v>
      </c>
      <c r="K34" s="155">
        <v>5454</v>
      </c>
      <c r="L34" s="155">
        <v>4430</v>
      </c>
      <c r="M34" s="155">
        <v>5681</v>
      </c>
      <c r="N34" s="155">
        <v>6725</v>
      </c>
      <c r="O34" s="155">
        <v>7193</v>
      </c>
      <c r="P34" s="155">
        <v>8915</v>
      </c>
      <c r="R34" s="155">
        <v>5233</v>
      </c>
      <c r="S34" s="155">
        <f t="shared" si="23"/>
        <v>5064</v>
      </c>
      <c r="T34" s="155">
        <v>6666</v>
      </c>
      <c r="U34" s="155">
        <f t="shared" si="28"/>
        <v>5094</v>
      </c>
      <c r="V34" s="155">
        <v>4937</v>
      </c>
      <c r="W34" s="155">
        <f t="shared" si="29"/>
        <v>4825</v>
      </c>
      <c r="X34" s="155">
        <v>5094</v>
      </c>
      <c r="Y34" s="155">
        <f t="shared" si="24"/>
        <v>8151</v>
      </c>
      <c r="Z34" s="155">
        <v>9347</v>
      </c>
      <c r="AA34" s="155">
        <f t="shared" si="25"/>
        <v>5454</v>
      </c>
      <c r="AB34" s="155">
        <v>691</v>
      </c>
      <c r="AC34" s="155">
        <f t="shared" si="26"/>
        <v>4430</v>
      </c>
      <c r="AD34" s="155">
        <v>5104</v>
      </c>
      <c r="AE34" s="155">
        <f t="shared" si="27"/>
        <v>5681</v>
      </c>
      <c r="AF34" s="155">
        <v>5932</v>
      </c>
      <c r="AG34" s="155">
        <f t="shared" si="21"/>
        <v>6725</v>
      </c>
      <c r="AH34" s="155">
        <v>6728</v>
      </c>
      <c r="AI34" s="155">
        <f t="shared" si="22"/>
        <v>7193</v>
      </c>
      <c r="AJ34" s="155">
        <v>7713</v>
      </c>
      <c r="AK34" s="155">
        <f t="shared" si="20"/>
        <v>8915</v>
      </c>
      <c r="AL34" s="155">
        <v>8563</v>
      </c>
      <c r="AN34" s="173"/>
      <c r="AO34" s="173"/>
    </row>
    <row r="35" spans="2:41">
      <c r="B35" s="467"/>
      <c r="C35" s="34"/>
      <c r="D35" s="36" t="s">
        <v>615</v>
      </c>
      <c r="E35" s="155">
        <v>83174</v>
      </c>
      <c r="F35" s="155">
        <v>38452</v>
      </c>
      <c r="G35" s="155">
        <v>44863</v>
      </c>
      <c r="H35" s="155">
        <v>51710</v>
      </c>
      <c r="I35" s="155">
        <v>46089</v>
      </c>
      <c r="J35" s="155">
        <v>893573</v>
      </c>
      <c r="K35" s="155">
        <v>71868</v>
      </c>
      <c r="L35" s="155">
        <v>72282</v>
      </c>
      <c r="M35" s="155">
        <v>54553</v>
      </c>
      <c r="N35" s="155">
        <v>59247</v>
      </c>
      <c r="O35" s="155">
        <v>43752</v>
      </c>
      <c r="P35" s="155">
        <v>59879</v>
      </c>
      <c r="R35" s="155">
        <v>38550</v>
      </c>
      <c r="S35" s="155">
        <f t="shared" si="23"/>
        <v>44863</v>
      </c>
      <c r="T35" s="155">
        <v>61256</v>
      </c>
      <c r="U35" s="155">
        <f t="shared" si="28"/>
        <v>51710</v>
      </c>
      <c r="V35" s="155">
        <v>61484</v>
      </c>
      <c r="W35" s="155">
        <f t="shared" si="29"/>
        <v>46089</v>
      </c>
      <c r="X35" s="155">
        <v>43643</v>
      </c>
      <c r="Y35" s="155">
        <f t="shared" si="24"/>
        <v>893573</v>
      </c>
      <c r="Z35" s="155">
        <v>101503</v>
      </c>
      <c r="AA35" s="155">
        <f t="shared" si="25"/>
        <v>71868</v>
      </c>
      <c r="AB35" s="155">
        <v>76850</v>
      </c>
      <c r="AC35" s="155">
        <f t="shared" si="26"/>
        <v>72282</v>
      </c>
      <c r="AD35" s="155">
        <v>57474</v>
      </c>
      <c r="AE35" s="155">
        <f t="shared" si="27"/>
        <v>54553</v>
      </c>
      <c r="AF35" s="155">
        <v>89756</v>
      </c>
      <c r="AG35" s="155">
        <f t="shared" si="21"/>
        <v>59247</v>
      </c>
      <c r="AH35" s="155">
        <v>63242</v>
      </c>
      <c r="AI35" s="155">
        <f t="shared" si="22"/>
        <v>43752</v>
      </c>
      <c r="AJ35" s="155">
        <v>59827</v>
      </c>
      <c r="AK35" s="155">
        <f t="shared" si="20"/>
        <v>59879</v>
      </c>
      <c r="AL35" s="155">
        <v>63954</v>
      </c>
      <c r="AN35" s="173"/>
      <c r="AO35" s="173"/>
    </row>
    <row r="36" spans="2:41">
      <c r="B36" s="467"/>
      <c r="C36" s="34"/>
      <c r="D36" s="36" t="s">
        <v>616</v>
      </c>
      <c r="E36" s="155">
        <v>94598</v>
      </c>
      <c r="F36" s="155">
        <v>38276</v>
      </c>
      <c r="G36" s="155">
        <v>39287</v>
      </c>
      <c r="H36" s="155">
        <v>51541</v>
      </c>
      <c r="I36" s="155">
        <v>77458</v>
      </c>
      <c r="J36" s="155">
        <v>103185</v>
      </c>
      <c r="K36" s="155">
        <v>80099</v>
      </c>
      <c r="L36" s="155">
        <v>117883</v>
      </c>
      <c r="M36" s="155">
        <v>124956</v>
      </c>
      <c r="N36" s="155">
        <v>135371</v>
      </c>
      <c r="O36" s="155">
        <v>95758</v>
      </c>
      <c r="P36" s="155">
        <v>122879</v>
      </c>
      <c r="R36" s="155">
        <v>40366</v>
      </c>
      <c r="S36" s="155">
        <f t="shared" si="23"/>
        <v>39287</v>
      </c>
      <c r="T36" s="155">
        <v>34120</v>
      </c>
      <c r="U36" s="155">
        <f t="shared" si="28"/>
        <v>51541</v>
      </c>
      <c r="V36" s="155">
        <v>79854</v>
      </c>
      <c r="W36" s="155">
        <f t="shared" si="29"/>
        <v>77458</v>
      </c>
      <c r="X36" s="155">
        <v>65054</v>
      </c>
      <c r="Y36" s="155">
        <f t="shared" si="24"/>
        <v>103185</v>
      </c>
      <c r="Z36" s="155">
        <v>103532</v>
      </c>
      <c r="AA36" s="155">
        <f t="shared" si="25"/>
        <v>80099</v>
      </c>
      <c r="AB36" s="155">
        <v>106428</v>
      </c>
      <c r="AC36" s="155">
        <f t="shared" si="26"/>
        <v>117883</v>
      </c>
      <c r="AD36" s="155">
        <v>121800</v>
      </c>
      <c r="AE36" s="155">
        <f t="shared" si="27"/>
        <v>124956</v>
      </c>
      <c r="AF36" s="155">
        <v>118545</v>
      </c>
      <c r="AG36" s="155">
        <f t="shared" si="21"/>
        <v>135371</v>
      </c>
      <c r="AH36" s="155">
        <v>129373</v>
      </c>
      <c r="AI36" s="155">
        <f t="shared" si="22"/>
        <v>95758</v>
      </c>
      <c r="AJ36" s="155">
        <v>140677</v>
      </c>
      <c r="AK36" s="155">
        <f t="shared" si="20"/>
        <v>122879</v>
      </c>
      <c r="AL36" s="155">
        <v>151204</v>
      </c>
      <c r="AN36" s="173"/>
      <c r="AO36" s="173"/>
    </row>
    <row r="37" spans="2:41">
      <c r="B37" s="467"/>
      <c r="C37" s="34"/>
      <c r="D37" s="32" t="s">
        <v>617</v>
      </c>
      <c r="E37" s="160">
        <f t="shared" ref="E37:N37" si="30">SUM(E29:E36)</f>
        <v>1142751</v>
      </c>
      <c r="F37" s="160">
        <f t="shared" si="30"/>
        <v>1074817</v>
      </c>
      <c r="G37" s="160">
        <f t="shared" si="30"/>
        <v>1069959</v>
      </c>
      <c r="H37" s="160">
        <f t="shared" si="30"/>
        <v>1098620</v>
      </c>
      <c r="I37" s="160">
        <f>SUM(I29:I36)</f>
        <v>1215544</v>
      </c>
      <c r="J37" s="160">
        <f t="shared" si="30"/>
        <v>4026743</v>
      </c>
      <c r="K37" s="160">
        <f t="shared" si="30"/>
        <v>2888010</v>
      </c>
      <c r="L37" s="160">
        <f t="shared" si="30"/>
        <v>2526037</v>
      </c>
      <c r="M37" s="160">
        <f t="shared" si="30"/>
        <v>1611362</v>
      </c>
      <c r="N37" s="160">
        <f t="shared" si="30"/>
        <v>1696985</v>
      </c>
      <c r="O37" s="160">
        <f>SUM(O29:O36)</f>
        <v>1315302</v>
      </c>
      <c r="P37" s="160">
        <f>SUM(P29:P36)</f>
        <v>1485638</v>
      </c>
      <c r="R37" s="160">
        <v>1042805</v>
      </c>
      <c r="S37" s="160">
        <f t="shared" si="23"/>
        <v>1069959</v>
      </c>
      <c r="T37" s="160">
        <f t="shared" ref="T37:AH37" si="31">SUM(T29:T36)</f>
        <v>1221923</v>
      </c>
      <c r="U37" s="160">
        <f t="shared" si="28"/>
        <v>1098620</v>
      </c>
      <c r="V37" s="160">
        <v>1131908</v>
      </c>
      <c r="W37" s="160">
        <f t="shared" si="29"/>
        <v>1215544</v>
      </c>
      <c r="X37" s="160">
        <v>1096533</v>
      </c>
      <c r="Y37" s="160">
        <f t="shared" si="24"/>
        <v>4026743</v>
      </c>
      <c r="Z37" s="160">
        <v>4062137</v>
      </c>
      <c r="AA37" s="160">
        <f t="shared" si="25"/>
        <v>2888010</v>
      </c>
      <c r="AB37" s="160">
        <f t="shared" si="31"/>
        <v>2829185</v>
      </c>
      <c r="AC37" s="160">
        <f t="shared" si="26"/>
        <v>2526037</v>
      </c>
      <c r="AD37" s="160">
        <f t="shared" si="31"/>
        <v>1549523</v>
      </c>
      <c r="AE37" s="160">
        <f t="shared" si="27"/>
        <v>1611362</v>
      </c>
      <c r="AF37" s="160">
        <f t="shared" si="31"/>
        <v>1651172</v>
      </c>
      <c r="AG37" s="160">
        <f t="shared" si="21"/>
        <v>1696985</v>
      </c>
      <c r="AH37" s="160">
        <f t="shared" si="31"/>
        <v>1560991</v>
      </c>
      <c r="AI37" s="160">
        <f t="shared" si="22"/>
        <v>1315302</v>
      </c>
      <c r="AJ37" s="160">
        <f>SUM(AJ29:AJ36)</f>
        <v>1481083</v>
      </c>
      <c r="AK37" s="160">
        <f t="shared" si="20"/>
        <v>1485638</v>
      </c>
      <c r="AL37" s="160">
        <v>1356414</v>
      </c>
      <c r="AN37" s="173"/>
      <c r="AO37" s="173"/>
    </row>
    <row r="38" spans="2:41">
      <c r="B38" s="467"/>
      <c r="C38" s="34"/>
      <c r="D38" s="36" t="s">
        <v>618</v>
      </c>
      <c r="E38" s="155">
        <v>166366</v>
      </c>
      <c r="F38" s="155">
        <v>190988</v>
      </c>
      <c r="G38" s="155">
        <v>189650</v>
      </c>
      <c r="H38" s="155">
        <v>229979</v>
      </c>
      <c r="I38" s="155">
        <v>441435</v>
      </c>
      <c r="J38" s="155">
        <v>1440039</v>
      </c>
      <c r="K38" s="155">
        <v>1208059</v>
      </c>
      <c r="L38" s="155">
        <v>1145352</v>
      </c>
      <c r="M38" s="155">
        <v>1044138</v>
      </c>
      <c r="N38" s="155">
        <v>1012589</v>
      </c>
      <c r="O38" s="155">
        <v>857258</v>
      </c>
      <c r="P38" s="155">
        <v>743607</v>
      </c>
      <c r="R38" s="155">
        <v>181960</v>
      </c>
      <c r="S38" s="155">
        <f t="shared" si="23"/>
        <v>189650</v>
      </c>
      <c r="T38" s="155">
        <v>230567</v>
      </c>
      <c r="U38" s="155">
        <f t="shared" si="28"/>
        <v>229979</v>
      </c>
      <c r="V38" s="155">
        <v>259535</v>
      </c>
      <c r="W38" s="155">
        <f t="shared" si="29"/>
        <v>441435</v>
      </c>
      <c r="X38" s="155">
        <v>422846</v>
      </c>
      <c r="Y38" s="155">
        <f t="shared" si="24"/>
        <v>1440039</v>
      </c>
      <c r="Z38" s="155">
        <v>1415281</v>
      </c>
      <c r="AA38" s="155">
        <f t="shared" si="25"/>
        <v>1208059</v>
      </c>
      <c r="AB38" s="155">
        <v>1099775</v>
      </c>
      <c r="AC38" s="155">
        <f t="shared" si="26"/>
        <v>1145352</v>
      </c>
      <c r="AD38" s="155">
        <v>1142646</v>
      </c>
      <c r="AE38" s="155">
        <f t="shared" si="27"/>
        <v>1044138</v>
      </c>
      <c r="AF38" s="155">
        <v>1032979</v>
      </c>
      <c r="AG38" s="155">
        <f t="shared" si="21"/>
        <v>1012589</v>
      </c>
      <c r="AH38" s="155">
        <v>947826</v>
      </c>
      <c r="AI38" s="155">
        <f t="shared" si="22"/>
        <v>857258</v>
      </c>
      <c r="AJ38" s="155">
        <v>868808</v>
      </c>
      <c r="AK38" s="155">
        <f t="shared" si="20"/>
        <v>743607</v>
      </c>
      <c r="AL38" s="155">
        <v>553485</v>
      </c>
      <c r="AN38" s="173"/>
      <c r="AO38" s="173"/>
    </row>
    <row r="39" spans="2:41">
      <c r="B39" s="467"/>
      <c r="C39" s="34"/>
      <c r="D39" s="36" t="s">
        <v>764</v>
      </c>
      <c r="E39" s="216" t="s">
        <v>694</v>
      </c>
      <c r="F39" s="216" t="s">
        <v>694</v>
      </c>
      <c r="G39" s="216" t="s">
        <v>694</v>
      </c>
      <c r="H39" s="216" t="s">
        <v>694</v>
      </c>
      <c r="I39" s="216" t="s">
        <v>694</v>
      </c>
      <c r="J39" s="216" t="s">
        <v>694</v>
      </c>
      <c r="K39" s="216" t="s">
        <v>694</v>
      </c>
      <c r="L39" s="216" t="s">
        <v>694</v>
      </c>
      <c r="M39" s="216" t="s">
        <v>694</v>
      </c>
      <c r="N39" s="216" t="s">
        <v>694</v>
      </c>
      <c r="O39" s="216" t="s">
        <v>694</v>
      </c>
      <c r="P39" s="401">
        <v>35262</v>
      </c>
      <c r="R39" s="216" t="s">
        <v>694</v>
      </c>
      <c r="S39" s="216" t="s">
        <v>694</v>
      </c>
      <c r="T39" s="216" t="s">
        <v>694</v>
      </c>
      <c r="U39" s="216" t="s">
        <v>694</v>
      </c>
      <c r="V39" s="216" t="s">
        <v>694</v>
      </c>
      <c r="W39" s="216" t="s">
        <v>694</v>
      </c>
      <c r="X39" s="216" t="s">
        <v>694</v>
      </c>
      <c r="Y39" s="216" t="s">
        <v>694</v>
      </c>
      <c r="Z39" s="216" t="s">
        <v>694</v>
      </c>
      <c r="AA39" s="216" t="s">
        <v>694</v>
      </c>
      <c r="AB39" s="216" t="s">
        <v>694</v>
      </c>
      <c r="AC39" s="216" t="s">
        <v>694</v>
      </c>
      <c r="AD39" s="216" t="s">
        <v>694</v>
      </c>
      <c r="AE39" s="216" t="s">
        <v>694</v>
      </c>
      <c r="AF39" s="216" t="s">
        <v>694</v>
      </c>
      <c r="AG39" s="216" t="s">
        <v>694</v>
      </c>
      <c r="AH39" s="216" t="s">
        <v>694</v>
      </c>
      <c r="AI39" s="216" t="s">
        <v>694</v>
      </c>
      <c r="AJ39" s="216" t="s">
        <v>694</v>
      </c>
      <c r="AK39" s="155">
        <f t="shared" si="20"/>
        <v>35262</v>
      </c>
      <c r="AL39" s="155">
        <v>31727</v>
      </c>
      <c r="AN39" s="173"/>
      <c r="AO39" s="173"/>
    </row>
    <row r="40" spans="2:41">
      <c r="B40" s="467"/>
      <c r="C40" s="34"/>
      <c r="D40" s="36" t="s">
        <v>619</v>
      </c>
      <c r="E40" s="155">
        <v>113796</v>
      </c>
      <c r="F40" s="155">
        <v>110941</v>
      </c>
      <c r="G40" s="155">
        <v>105899</v>
      </c>
      <c r="H40" s="155">
        <v>93191</v>
      </c>
      <c r="I40" s="155">
        <v>85325</v>
      </c>
      <c r="J40" s="155">
        <v>456751</v>
      </c>
      <c r="K40" s="155">
        <v>306977</v>
      </c>
      <c r="L40" s="155">
        <v>93634</v>
      </c>
      <c r="M40" s="155">
        <v>175548</v>
      </c>
      <c r="N40" s="155">
        <v>180542</v>
      </c>
      <c r="O40" s="155">
        <v>132072</v>
      </c>
      <c r="P40" s="155">
        <v>154689</v>
      </c>
      <c r="R40" s="155">
        <v>107654</v>
      </c>
      <c r="S40" s="155">
        <f t="shared" si="23"/>
        <v>105899</v>
      </c>
      <c r="T40" s="155">
        <v>115380</v>
      </c>
      <c r="U40" s="155">
        <f t="shared" si="28"/>
        <v>93191</v>
      </c>
      <c r="V40" s="155">
        <v>94043</v>
      </c>
      <c r="W40" s="155">
        <f t="shared" si="29"/>
        <v>85325</v>
      </c>
      <c r="X40" s="155">
        <v>82518</v>
      </c>
      <c r="Y40" s="155">
        <f t="shared" si="24"/>
        <v>456751</v>
      </c>
      <c r="Z40" s="155">
        <v>449615</v>
      </c>
      <c r="AA40" s="155">
        <f t="shared" si="25"/>
        <v>306977</v>
      </c>
      <c r="AB40" s="155">
        <v>306279</v>
      </c>
      <c r="AC40" s="155">
        <f t="shared" si="26"/>
        <v>93634</v>
      </c>
      <c r="AD40" s="155">
        <v>124938</v>
      </c>
      <c r="AE40" s="155">
        <f t="shared" si="27"/>
        <v>175548</v>
      </c>
      <c r="AF40" s="155">
        <v>178304</v>
      </c>
      <c r="AG40" s="155">
        <f t="shared" si="21"/>
        <v>180542</v>
      </c>
      <c r="AH40" s="155">
        <v>157242</v>
      </c>
      <c r="AI40" s="155">
        <f t="shared" si="22"/>
        <v>132072</v>
      </c>
      <c r="AJ40" s="155">
        <f>33388+144792</f>
        <v>178180</v>
      </c>
      <c r="AK40" s="155">
        <f t="shared" si="20"/>
        <v>154689</v>
      </c>
      <c r="AL40" s="155">
        <v>127247</v>
      </c>
      <c r="AN40" s="173"/>
      <c r="AO40" s="173"/>
    </row>
    <row r="41" spans="2:41">
      <c r="B41" s="467"/>
      <c r="C41" s="34"/>
      <c r="D41" s="36" t="s">
        <v>44</v>
      </c>
      <c r="E41" s="155">
        <v>34447</v>
      </c>
      <c r="F41" s="155">
        <v>36010</v>
      </c>
      <c r="G41" s="155">
        <v>39586</v>
      </c>
      <c r="H41" s="155">
        <v>27546</v>
      </c>
      <c r="I41" s="155">
        <v>37336</v>
      </c>
      <c r="J41" s="155">
        <v>50568</v>
      </c>
      <c r="K41" s="155">
        <v>22586</v>
      </c>
      <c r="L41" s="155">
        <v>21403</v>
      </c>
      <c r="M41" s="155">
        <v>23721</v>
      </c>
      <c r="N41" s="155">
        <v>21736</v>
      </c>
      <c r="O41" s="155">
        <v>32547</v>
      </c>
      <c r="P41" s="155">
        <v>27770</v>
      </c>
      <c r="R41" s="155">
        <v>43829</v>
      </c>
      <c r="S41" s="155">
        <f t="shared" si="23"/>
        <v>39586</v>
      </c>
      <c r="T41" s="155">
        <v>43686</v>
      </c>
      <c r="U41" s="155">
        <f t="shared" si="28"/>
        <v>27546</v>
      </c>
      <c r="V41" s="155">
        <v>35593</v>
      </c>
      <c r="W41" s="155">
        <f t="shared" si="29"/>
        <v>37336</v>
      </c>
      <c r="X41" s="155">
        <v>35031</v>
      </c>
      <c r="Y41" s="155">
        <f t="shared" si="24"/>
        <v>50568</v>
      </c>
      <c r="Z41" s="155">
        <v>45991</v>
      </c>
      <c r="AA41" s="155">
        <f t="shared" si="25"/>
        <v>22586</v>
      </c>
      <c r="AB41" s="155">
        <v>26583</v>
      </c>
      <c r="AC41" s="155">
        <f t="shared" si="26"/>
        <v>21403</v>
      </c>
      <c r="AD41" s="155">
        <v>26252</v>
      </c>
      <c r="AE41" s="155">
        <f t="shared" si="27"/>
        <v>23721</v>
      </c>
      <c r="AF41" s="155">
        <v>22367</v>
      </c>
      <c r="AG41" s="155">
        <f t="shared" si="21"/>
        <v>21736</v>
      </c>
      <c r="AH41" s="155">
        <v>27941</v>
      </c>
      <c r="AI41" s="155">
        <f t="shared" si="22"/>
        <v>32547</v>
      </c>
      <c r="AJ41" s="155">
        <v>23251</v>
      </c>
      <c r="AK41" s="155">
        <f t="shared" si="20"/>
        <v>27770</v>
      </c>
      <c r="AL41" s="155">
        <v>21577</v>
      </c>
      <c r="AN41" s="173"/>
      <c r="AO41" s="173"/>
    </row>
    <row r="42" spans="2:41">
      <c r="B42" s="467"/>
      <c r="C42" s="34"/>
      <c r="D42" s="36" t="s">
        <v>620</v>
      </c>
      <c r="E42" s="155">
        <v>58150</v>
      </c>
      <c r="F42" s="155">
        <v>43081</v>
      </c>
      <c r="G42" s="155">
        <v>37007</v>
      </c>
      <c r="H42" s="155">
        <v>41227</v>
      </c>
      <c r="I42" s="155">
        <v>75662</v>
      </c>
      <c r="J42" s="155">
        <v>221498</v>
      </c>
      <c r="K42" s="155">
        <v>137369</v>
      </c>
      <c r="L42" s="155">
        <v>130954</v>
      </c>
      <c r="M42" s="155">
        <v>104361</v>
      </c>
      <c r="N42" s="155">
        <v>83590</v>
      </c>
      <c r="O42" s="155">
        <v>21184</v>
      </c>
      <c r="P42" s="155">
        <v>99098</v>
      </c>
      <c r="R42" s="155">
        <v>36767</v>
      </c>
      <c r="S42" s="155">
        <f t="shared" si="23"/>
        <v>37007</v>
      </c>
      <c r="T42" s="155">
        <v>46834</v>
      </c>
      <c r="U42" s="155">
        <f t="shared" si="28"/>
        <v>41227</v>
      </c>
      <c r="V42" s="155">
        <v>55387</v>
      </c>
      <c r="W42" s="155">
        <f t="shared" si="29"/>
        <v>75662</v>
      </c>
      <c r="X42" s="155">
        <v>94021</v>
      </c>
      <c r="Y42" s="155">
        <f t="shared" si="24"/>
        <v>221498</v>
      </c>
      <c r="Z42" s="155">
        <v>139571</v>
      </c>
      <c r="AA42" s="155">
        <f t="shared" si="25"/>
        <v>137369</v>
      </c>
      <c r="AB42" s="155">
        <v>143105</v>
      </c>
      <c r="AC42" s="155">
        <f t="shared" si="26"/>
        <v>130954</v>
      </c>
      <c r="AD42" s="155">
        <v>120288</v>
      </c>
      <c r="AE42" s="155">
        <f t="shared" si="27"/>
        <v>104361</v>
      </c>
      <c r="AF42" s="155">
        <v>88217</v>
      </c>
      <c r="AG42" s="155">
        <f t="shared" si="21"/>
        <v>83590</v>
      </c>
      <c r="AH42" s="155">
        <v>66359</v>
      </c>
      <c r="AI42" s="155">
        <f t="shared" si="22"/>
        <v>21184</v>
      </c>
      <c r="AJ42" s="155">
        <v>21551</v>
      </c>
      <c r="AK42" s="155">
        <f t="shared" si="20"/>
        <v>99098</v>
      </c>
      <c r="AL42" s="155">
        <v>232764</v>
      </c>
      <c r="AN42" s="173"/>
      <c r="AO42" s="173"/>
    </row>
    <row r="43" spans="2:41">
      <c r="B43" s="467"/>
      <c r="C43" s="34"/>
      <c r="D43" s="36" t="s">
        <v>765</v>
      </c>
      <c r="E43" s="216" t="s">
        <v>694</v>
      </c>
      <c r="F43" s="216" t="s">
        <v>694</v>
      </c>
      <c r="G43" s="216" t="s">
        <v>694</v>
      </c>
      <c r="H43" s="216" t="s">
        <v>694</v>
      </c>
      <c r="I43" s="216" t="s">
        <v>694</v>
      </c>
      <c r="J43" s="216" t="s">
        <v>694</v>
      </c>
      <c r="K43" s="216" t="s">
        <v>694</v>
      </c>
      <c r="L43" s="216" t="s">
        <v>694</v>
      </c>
      <c r="M43" s="216" t="s">
        <v>694</v>
      </c>
      <c r="N43" s="216" t="s">
        <v>694</v>
      </c>
      <c r="O43" s="216" t="s">
        <v>694</v>
      </c>
      <c r="P43" s="401">
        <v>851</v>
      </c>
      <c r="R43" s="216" t="s">
        <v>694</v>
      </c>
      <c r="S43" s="216" t="s">
        <v>694</v>
      </c>
      <c r="T43" s="216" t="s">
        <v>694</v>
      </c>
      <c r="U43" s="216" t="s">
        <v>694</v>
      </c>
      <c r="V43" s="216" t="s">
        <v>694</v>
      </c>
      <c r="W43" s="216" t="s">
        <v>694</v>
      </c>
      <c r="X43" s="216" t="s">
        <v>694</v>
      </c>
      <c r="Y43" s="216" t="s">
        <v>694</v>
      </c>
      <c r="Z43" s="216" t="s">
        <v>694</v>
      </c>
      <c r="AA43" s="216" t="s">
        <v>694</v>
      </c>
      <c r="AB43" s="216" t="s">
        <v>694</v>
      </c>
      <c r="AC43" s="216" t="s">
        <v>694</v>
      </c>
      <c r="AD43" s="216" t="s">
        <v>694</v>
      </c>
      <c r="AE43" s="216" t="s">
        <v>694</v>
      </c>
      <c r="AF43" s="216" t="s">
        <v>694</v>
      </c>
      <c r="AG43" s="216" t="s">
        <v>694</v>
      </c>
      <c r="AH43" s="216" t="s">
        <v>694</v>
      </c>
      <c r="AI43" s="216" t="s">
        <v>694</v>
      </c>
      <c r="AJ43" s="216" t="s">
        <v>694</v>
      </c>
      <c r="AK43" s="155">
        <f t="shared" si="20"/>
        <v>851</v>
      </c>
      <c r="AL43" s="155">
        <v>1294</v>
      </c>
      <c r="AN43" s="173"/>
      <c r="AO43" s="173"/>
    </row>
    <row r="44" spans="2:41">
      <c r="B44" s="467"/>
      <c r="C44" s="34"/>
      <c r="D44" s="36" t="s">
        <v>621</v>
      </c>
      <c r="E44" s="155">
        <v>22352</v>
      </c>
      <c r="F44" s="155">
        <v>2308</v>
      </c>
      <c r="G44" s="155">
        <v>3048</v>
      </c>
      <c r="H44" s="155">
        <v>1264</v>
      </c>
      <c r="I44" s="155">
        <v>1703</v>
      </c>
      <c r="J44" s="155">
        <v>1500</v>
      </c>
      <c r="K44" s="155">
        <v>11502</v>
      </c>
      <c r="L44" s="155">
        <v>278</v>
      </c>
      <c r="M44" s="155">
        <v>1312</v>
      </c>
      <c r="N44" s="155">
        <v>1615</v>
      </c>
      <c r="O44" s="155">
        <v>592</v>
      </c>
      <c r="P44" s="155">
        <v>365</v>
      </c>
      <c r="R44" s="155">
        <v>2128</v>
      </c>
      <c r="S44" s="155">
        <f t="shared" si="23"/>
        <v>3048</v>
      </c>
      <c r="T44" s="155">
        <v>2608</v>
      </c>
      <c r="U44" s="155">
        <f t="shared" si="28"/>
        <v>1264</v>
      </c>
      <c r="V44" s="155">
        <v>1948</v>
      </c>
      <c r="W44" s="155">
        <f t="shared" si="29"/>
        <v>1703</v>
      </c>
      <c r="X44" s="155">
        <v>841</v>
      </c>
      <c r="Y44" s="155">
        <f t="shared" si="24"/>
        <v>1500</v>
      </c>
      <c r="Z44" s="155">
        <v>5453</v>
      </c>
      <c r="AA44" s="155">
        <f t="shared" si="25"/>
        <v>11502</v>
      </c>
      <c r="AB44" s="155">
        <v>1417</v>
      </c>
      <c r="AC44" s="155">
        <f t="shared" si="26"/>
        <v>278</v>
      </c>
      <c r="AD44" s="155">
        <v>205</v>
      </c>
      <c r="AE44" s="155">
        <f t="shared" si="27"/>
        <v>1312</v>
      </c>
      <c r="AF44" s="155">
        <v>5528</v>
      </c>
      <c r="AG44" s="155">
        <f t="shared" si="21"/>
        <v>1615</v>
      </c>
      <c r="AH44" s="155">
        <v>5163</v>
      </c>
      <c r="AI44" s="155">
        <f t="shared" si="22"/>
        <v>592</v>
      </c>
      <c r="AJ44" s="155">
        <f>478+304</f>
        <v>782</v>
      </c>
      <c r="AK44" s="155">
        <f t="shared" si="20"/>
        <v>365</v>
      </c>
      <c r="AL44" s="155">
        <v>446</v>
      </c>
      <c r="AN44" s="173"/>
      <c r="AO44" s="173"/>
    </row>
    <row r="45" spans="2:41">
      <c r="B45" s="467"/>
      <c r="C45" s="34"/>
      <c r="D45" s="32" t="s">
        <v>622</v>
      </c>
      <c r="E45" s="160">
        <f t="shared" ref="E45:P45" si="32">SUM(E38:E44)</f>
        <v>395111</v>
      </c>
      <c r="F45" s="160">
        <f t="shared" si="32"/>
        <v>383328</v>
      </c>
      <c r="G45" s="160">
        <f t="shared" si="32"/>
        <v>375190</v>
      </c>
      <c r="H45" s="160">
        <f t="shared" si="32"/>
        <v>393207</v>
      </c>
      <c r="I45" s="160">
        <f t="shared" si="32"/>
        <v>641461</v>
      </c>
      <c r="J45" s="160">
        <f t="shared" si="32"/>
        <v>2170356</v>
      </c>
      <c r="K45" s="160">
        <f t="shared" si="32"/>
        <v>1686493</v>
      </c>
      <c r="L45" s="160">
        <f t="shared" si="32"/>
        <v>1391621</v>
      </c>
      <c r="M45" s="160">
        <f t="shared" si="32"/>
        <v>1349080</v>
      </c>
      <c r="N45" s="160">
        <f t="shared" si="32"/>
        <v>1300072</v>
      </c>
      <c r="O45" s="160">
        <f t="shared" si="32"/>
        <v>1043653</v>
      </c>
      <c r="P45" s="160">
        <f t="shared" si="32"/>
        <v>1061642</v>
      </c>
      <c r="R45" s="160">
        <v>372338</v>
      </c>
      <c r="S45" s="160">
        <f t="shared" si="23"/>
        <v>375190</v>
      </c>
      <c r="T45" s="160">
        <f>SUM(T38:T44)</f>
        <v>439075</v>
      </c>
      <c r="U45" s="160">
        <f t="shared" si="28"/>
        <v>393207</v>
      </c>
      <c r="V45" s="160">
        <v>446506</v>
      </c>
      <c r="W45" s="160">
        <f t="shared" si="29"/>
        <v>641461</v>
      </c>
      <c r="X45" s="160">
        <v>635257</v>
      </c>
      <c r="Y45" s="160">
        <f t="shared" si="24"/>
        <v>2170356</v>
      </c>
      <c r="Z45" s="160">
        <v>2055911</v>
      </c>
      <c r="AA45" s="160">
        <f t="shared" si="25"/>
        <v>1686493</v>
      </c>
      <c r="AB45" s="160">
        <f>SUM(AB38:AB44)</f>
        <v>1577159</v>
      </c>
      <c r="AC45" s="160">
        <f t="shared" si="26"/>
        <v>1391621</v>
      </c>
      <c r="AD45" s="160">
        <f>SUM(AD38:AD44)</f>
        <v>1414329</v>
      </c>
      <c r="AE45" s="160">
        <f t="shared" si="27"/>
        <v>1349080</v>
      </c>
      <c r="AF45" s="160">
        <f>SUM(AF38:AF44)</f>
        <v>1327395</v>
      </c>
      <c r="AG45" s="160">
        <f t="shared" si="21"/>
        <v>1300072</v>
      </c>
      <c r="AH45" s="160">
        <f>SUM(AH38:AH44)</f>
        <v>1204531</v>
      </c>
      <c r="AI45" s="160">
        <f t="shared" si="22"/>
        <v>1043653</v>
      </c>
      <c r="AJ45" s="160">
        <f>SUM(AJ38:AJ44)</f>
        <v>1092572</v>
      </c>
      <c r="AK45" s="160">
        <f t="shared" si="20"/>
        <v>1061642</v>
      </c>
      <c r="AL45" s="160">
        <v>968540</v>
      </c>
      <c r="AN45" s="173"/>
      <c r="AO45" s="173"/>
    </row>
    <row r="46" spans="2:41">
      <c r="B46" s="467"/>
      <c r="C46" s="34"/>
      <c r="D46" s="32" t="s">
        <v>15</v>
      </c>
      <c r="E46" s="160">
        <v>17642</v>
      </c>
      <c r="F46" s="160">
        <v>20071</v>
      </c>
      <c r="G46" s="160">
        <v>20884</v>
      </c>
      <c r="H46" s="160">
        <v>21117</v>
      </c>
      <c r="I46" s="160">
        <v>2512</v>
      </c>
      <c r="J46" s="160">
        <f>-15353</f>
        <v>-15353</v>
      </c>
      <c r="K46" s="160">
        <v>25411</v>
      </c>
      <c r="L46" s="160">
        <v>13231</v>
      </c>
      <c r="M46" s="160">
        <v>15293</v>
      </c>
      <c r="N46" s="160">
        <v>16131</v>
      </c>
      <c r="O46" s="160">
        <v>14235</v>
      </c>
      <c r="P46" s="160">
        <v>17114</v>
      </c>
      <c r="R46" s="160">
        <v>21185</v>
      </c>
      <c r="S46" s="160">
        <f t="shared" si="23"/>
        <v>20884</v>
      </c>
      <c r="T46" s="160">
        <v>23274</v>
      </c>
      <c r="U46" s="160">
        <f t="shared" si="28"/>
        <v>21117</v>
      </c>
      <c r="V46" s="160">
        <v>19274</v>
      </c>
      <c r="W46" s="160">
        <f t="shared" si="29"/>
        <v>2512</v>
      </c>
      <c r="X46" s="160">
        <v>2307</v>
      </c>
      <c r="Y46" s="160">
        <f t="shared" si="24"/>
        <v>-15353</v>
      </c>
      <c r="Z46" s="160">
        <v>38350</v>
      </c>
      <c r="AA46" s="160">
        <f t="shared" si="25"/>
        <v>25411</v>
      </c>
      <c r="AB46" s="160">
        <v>16466</v>
      </c>
      <c r="AC46" s="160">
        <f t="shared" si="26"/>
        <v>13231</v>
      </c>
      <c r="AD46" s="160">
        <v>15145</v>
      </c>
      <c r="AE46" s="160">
        <f t="shared" si="27"/>
        <v>15293</v>
      </c>
      <c r="AF46" s="160">
        <v>15870</v>
      </c>
      <c r="AG46" s="160">
        <f t="shared" si="21"/>
        <v>16131</v>
      </c>
      <c r="AH46" s="160">
        <v>15259</v>
      </c>
      <c r="AI46" s="160">
        <f t="shared" si="22"/>
        <v>14235</v>
      </c>
      <c r="AJ46" s="160">
        <v>16388</v>
      </c>
      <c r="AK46" s="160">
        <f t="shared" si="20"/>
        <v>17114</v>
      </c>
      <c r="AL46" s="160">
        <v>16111</v>
      </c>
      <c r="AN46" s="173"/>
      <c r="AO46" s="173"/>
    </row>
    <row r="47" spans="2:41">
      <c r="D47" s="9"/>
      <c r="E47" s="164"/>
      <c r="F47" s="164"/>
      <c r="G47" s="164"/>
      <c r="H47" s="164"/>
      <c r="I47" s="164"/>
      <c r="J47" s="155"/>
      <c r="K47" s="155"/>
      <c r="L47" s="155"/>
      <c r="M47" s="164"/>
      <c r="N47" s="155"/>
      <c r="O47" s="155"/>
      <c r="P47" s="164"/>
      <c r="R47" s="164"/>
      <c r="S47" s="164">
        <f t="shared" si="0"/>
        <v>0</v>
      </c>
      <c r="T47" s="164"/>
      <c r="U47" s="164"/>
      <c r="V47" s="164"/>
      <c r="W47" s="164"/>
      <c r="X47" s="164"/>
      <c r="Y47" s="164"/>
      <c r="Z47" s="164"/>
      <c r="AA47" s="164"/>
      <c r="AB47" s="164"/>
      <c r="AC47" s="164"/>
      <c r="AD47" s="164"/>
      <c r="AE47" s="164"/>
      <c r="AF47" s="164"/>
      <c r="AG47" s="164"/>
      <c r="AH47" s="164"/>
      <c r="AI47" s="164"/>
      <c r="AJ47" s="164"/>
      <c r="AK47" s="164"/>
      <c r="AL47" s="164"/>
      <c r="AN47" s="173"/>
      <c r="AO47" s="173"/>
    </row>
    <row r="48" spans="2:41">
      <c r="D48" s="120" t="s">
        <v>626</v>
      </c>
      <c r="E48" s="160"/>
      <c r="F48" s="160"/>
      <c r="G48" s="160"/>
      <c r="H48" s="160"/>
      <c r="I48" s="160"/>
      <c r="J48" s="160"/>
      <c r="K48" s="160"/>
      <c r="L48" s="160"/>
      <c r="M48" s="160"/>
      <c r="N48" s="160"/>
      <c r="O48" s="160"/>
      <c r="P48" s="160"/>
      <c r="R48" s="160"/>
      <c r="S48" s="160">
        <f t="shared" si="0"/>
        <v>0</v>
      </c>
      <c r="T48" s="160"/>
      <c r="U48" s="160"/>
      <c r="V48" s="160"/>
      <c r="W48" s="160"/>
      <c r="X48" s="160"/>
      <c r="Y48" s="160"/>
      <c r="Z48" s="160"/>
      <c r="AA48" s="160"/>
      <c r="AB48" s="160"/>
      <c r="AC48" s="160"/>
      <c r="AD48" s="160"/>
      <c r="AE48" s="160"/>
      <c r="AF48" s="160"/>
      <c r="AG48" s="160"/>
      <c r="AH48" s="160"/>
      <c r="AI48" s="160"/>
      <c r="AJ48" s="160"/>
      <c r="AK48" s="160"/>
      <c r="AL48" s="160"/>
      <c r="AN48" s="173"/>
      <c r="AO48" s="173"/>
    </row>
    <row r="49" spans="2:41" ht="12" customHeight="1">
      <c r="B49" s="466" t="s">
        <v>626</v>
      </c>
      <c r="C49" s="34"/>
      <c r="D49" s="35" t="s">
        <v>602</v>
      </c>
      <c r="E49" s="157">
        <v>28820</v>
      </c>
      <c r="F49" s="157">
        <v>22844</v>
      </c>
      <c r="G49" s="157">
        <v>24630</v>
      </c>
      <c r="H49" s="157">
        <v>27457</v>
      </c>
      <c r="I49" s="157">
        <v>23221</v>
      </c>
      <c r="J49" s="157">
        <v>23544</v>
      </c>
      <c r="K49" s="157">
        <v>24028</v>
      </c>
      <c r="L49" s="157">
        <v>19546</v>
      </c>
      <c r="M49" s="157">
        <v>12864</v>
      </c>
      <c r="N49" s="157">
        <v>10916</v>
      </c>
      <c r="O49" s="157">
        <v>15009</v>
      </c>
      <c r="P49" s="157">
        <v>20974</v>
      </c>
      <c r="R49" s="157">
        <v>12580</v>
      </c>
      <c r="S49" s="157">
        <f t="shared" si="0"/>
        <v>12050</v>
      </c>
      <c r="T49" s="157">
        <v>13946</v>
      </c>
      <c r="U49" s="157">
        <f t="shared" ref="U49:U50" si="33">H49-T49</f>
        <v>13511</v>
      </c>
      <c r="V49" s="157">
        <v>12390</v>
      </c>
      <c r="W49" s="157">
        <f>I49-V49</f>
        <v>10831</v>
      </c>
      <c r="X49" s="157">
        <v>11241</v>
      </c>
      <c r="Y49" s="157">
        <f>J49-X49</f>
        <v>12303</v>
      </c>
      <c r="Z49" s="157">
        <v>12610</v>
      </c>
      <c r="AA49" s="157">
        <f>K49-Z49</f>
        <v>11418</v>
      </c>
      <c r="AB49" s="157">
        <v>9720</v>
      </c>
      <c r="AC49" s="157">
        <f>L49-AB49</f>
        <v>9826</v>
      </c>
      <c r="AD49" s="157">
        <v>8571</v>
      </c>
      <c r="AE49" s="157">
        <f>M49-AD49</f>
        <v>4293</v>
      </c>
      <c r="AF49" s="157">
        <v>4596</v>
      </c>
      <c r="AG49" s="157">
        <v>6320</v>
      </c>
      <c r="AH49" s="157">
        <v>6377</v>
      </c>
      <c r="AI49" s="157">
        <v>8632</v>
      </c>
      <c r="AJ49" s="157">
        <v>16270</v>
      </c>
      <c r="AK49" s="157">
        <f>P49-AJ49</f>
        <v>4704</v>
      </c>
      <c r="AL49" s="157">
        <v>4256</v>
      </c>
      <c r="AN49" s="173"/>
      <c r="AO49" s="173"/>
    </row>
    <row r="50" spans="2:41">
      <c r="B50" s="466"/>
      <c r="C50" s="34"/>
      <c r="D50" s="63" t="s">
        <v>603</v>
      </c>
      <c r="E50" s="156">
        <v>10098</v>
      </c>
      <c r="F50" s="156">
        <v>3764</v>
      </c>
      <c r="G50" s="156">
        <v>3632</v>
      </c>
      <c r="H50" s="156">
        <v>3569</v>
      </c>
      <c r="I50" s="156">
        <v>325</v>
      </c>
      <c r="J50" s="156">
        <v>102</v>
      </c>
      <c r="K50" s="156">
        <v>102</v>
      </c>
      <c r="L50" s="156">
        <v>45</v>
      </c>
      <c r="M50" s="156">
        <v>45</v>
      </c>
      <c r="N50" s="156">
        <v>11</v>
      </c>
      <c r="O50" s="156">
        <v>0</v>
      </c>
      <c r="P50" s="156">
        <v>0</v>
      </c>
      <c r="R50" s="156">
        <v>1821</v>
      </c>
      <c r="S50" s="156">
        <f t="shared" si="0"/>
        <v>1811</v>
      </c>
      <c r="T50" s="156">
        <v>1779</v>
      </c>
      <c r="U50" s="156">
        <f t="shared" si="33"/>
        <v>1790</v>
      </c>
      <c r="V50" s="156">
        <v>185</v>
      </c>
      <c r="W50" s="156">
        <f>I50-V50</f>
        <v>140</v>
      </c>
      <c r="X50" s="156">
        <v>50</v>
      </c>
      <c r="Y50" s="156">
        <f>J50-X50</f>
        <v>52</v>
      </c>
      <c r="Z50" s="156">
        <v>52</v>
      </c>
      <c r="AA50" s="156">
        <f>K50-Z50</f>
        <v>50</v>
      </c>
      <c r="AB50" s="156">
        <v>22</v>
      </c>
      <c r="AC50" s="156">
        <f>L50-AB50</f>
        <v>23</v>
      </c>
      <c r="AD50" s="156">
        <v>22</v>
      </c>
      <c r="AE50" s="156">
        <f>M50-AD50</f>
        <v>23</v>
      </c>
      <c r="AF50" s="156">
        <v>11</v>
      </c>
      <c r="AG50" s="156">
        <v>0</v>
      </c>
      <c r="AH50" s="156">
        <v>0</v>
      </c>
      <c r="AI50" s="156">
        <v>0</v>
      </c>
      <c r="AJ50" s="156">
        <v>0</v>
      </c>
      <c r="AK50" s="156">
        <f t="shared" ref="AK50:AK69" si="34">P50-AJ50</f>
        <v>0</v>
      </c>
      <c r="AL50" s="156">
        <v>0</v>
      </c>
      <c r="AN50" s="173"/>
      <c r="AO50" s="173"/>
    </row>
    <row r="51" spans="2:41">
      <c r="B51" s="466"/>
      <c r="C51" s="34"/>
      <c r="D51" s="35" t="s">
        <v>604</v>
      </c>
      <c r="E51" s="157">
        <f t="shared" ref="E51:N51" si="35">E49+E50</f>
        <v>38918</v>
      </c>
      <c r="F51" s="157">
        <f t="shared" si="35"/>
        <v>26608</v>
      </c>
      <c r="G51" s="157">
        <f t="shared" si="35"/>
        <v>28262</v>
      </c>
      <c r="H51" s="157">
        <f t="shared" si="35"/>
        <v>31026</v>
      </c>
      <c r="I51" s="157">
        <f t="shared" si="35"/>
        <v>23546</v>
      </c>
      <c r="J51" s="157">
        <f t="shared" si="35"/>
        <v>23646</v>
      </c>
      <c r="K51" s="157">
        <f t="shared" si="35"/>
        <v>24130</v>
      </c>
      <c r="L51" s="157">
        <f t="shared" si="35"/>
        <v>19591</v>
      </c>
      <c r="M51" s="157">
        <f t="shared" si="35"/>
        <v>12909</v>
      </c>
      <c r="N51" s="157">
        <f t="shared" si="35"/>
        <v>10927</v>
      </c>
      <c r="O51" s="157">
        <f>O49+O50</f>
        <v>15009</v>
      </c>
      <c r="P51" s="157">
        <v>20974</v>
      </c>
      <c r="R51" s="157">
        <f t="shared" ref="R51:AL51" si="36">R49+R50</f>
        <v>14401</v>
      </c>
      <c r="S51" s="157">
        <f t="shared" si="0"/>
        <v>13861</v>
      </c>
      <c r="T51" s="157">
        <f t="shared" si="36"/>
        <v>15725</v>
      </c>
      <c r="U51" s="157">
        <f t="shared" si="36"/>
        <v>15301</v>
      </c>
      <c r="V51" s="157">
        <f t="shared" si="36"/>
        <v>12575</v>
      </c>
      <c r="W51" s="157">
        <f t="shared" si="36"/>
        <v>10971</v>
      </c>
      <c r="X51" s="157">
        <f t="shared" si="36"/>
        <v>11291</v>
      </c>
      <c r="Y51" s="157">
        <f t="shared" si="36"/>
        <v>12355</v>
      </c>
      <c r="Z51" s="157">
        <f t="shared" si="36"/>
        <v>12662</v>
      </c>
      <c r="AA51" s="157">
        <f t="shared" si="36"/>
        <v>11468</v>
      </c>
      <c r="AB51" s="157">
        <f t="shared" si="36"/>
        <v>9742</v>
      </c>
      <c r="AC51" s="157">
        <f t="shared" si="36"/>
        <v>9849</v>
      </c>
      <c r="AD51" s="157">
        <f t="shared" si="36"/>
        <v>8593</v>
      </c>
      <c r="AE51" s="157">
        <f t="shared" si="36"/>
        <v>4316</v>
      </c>
      <c r="AF51" s="157">
        <f t="shared" si="36"/>
        <v>4607</v>
      </c>
      <c r="AG51" s="157">
        <f t="shared" si="36"/>
        <v>6320</v>
      </c>
      <c r="AH51" s="157">
        <f t="shared" si="36"/>
        <v>6377</v>
      </c>
      <c r="AI51" s="157">
        <f t="shared" si="36"/>
        <v>8632</v>
      </c>
      <c r="AJ51" s="157">
        <f t="shared" si="36"/>
        <v>16270</v>
      </c>
      <c r="AK51" s="157">
        <f t="shared" si="36"/>
        <v>4704</v>
      </c>
      <c r="AL51" s="157">
        <f t="shared" si="36"/>
        <v>4256</v>
      </c>
      <c r="AN51" s="173"/>
      <c r="AO51" s="173"/>
    </row>
    <row r="52" spans="2:41">
      <c r="B52" s="466"/>
      <c r="C52" s="34"/>
      <c r="D52" s="36" t="s">
        <v>1</v>
      </c>
      <c r="E52" s="155">
        <v>-64149</v>
      </c>
      <c r="F52" s="155">
        <v>-24336</v>
      </c>
      <c r="G52" s="155">
        <f>-26654</f>
        <v>-26654</v>
      </c>
      <c r="H52" s="155">
        <f>-26312</f>
        <v>-26312</v>
      </c>
      <c r="I52" s="155">
        <f>-22196</f>
        <v>-22196</v>
      </c>
      <c r="J52" s="155">
        <f>-21750</f>
        <v>-21750</v>
      </c>
      <c r="K52" s="155">
        <f>-21992</f>
        <v>-21992</v>
      </c>
      <c r="L52" s="155">
        <f>-17223</f>
        <v>-17223</v>
      </c>
      <c r="M52" s="155">
        <f>-12381</f>
        <v>-12381</v>
      </c>
      <c r="N52" s="155">
        <v>-10160</v>
      </c>
      <c r="O52" s="155">
        <v>-13039</v>
      </c>
      <c r="P52" s="155">
        <v>-15839</v>
      </c>
      <c r="R52" s="155">
        <f>-13155</f>
        <v>-13155</v>
      </c>
      <c r="S52" s="155">
        <f t="shared" si="0"/>
        <v>-13499</v>
      </c>
      <c r="T52" s="155">
        <v>-14265</v>
      </c>
      <c r="U52" s="155">
        <f t="shared" ref="U52:U54" si="37">H52-T52</f>
        <v>-12047</v>
      </c>
      <c r="V52" s="155">
        <v>-12144</v>
      </c>
      <c r="W52" s="155">
        <f>I52-V52</f>
        <v>-10052</v>
      </c>
      <c r="X52" s="155">
        <v>-10269</v>
      </c>
      <c r="Y52" s="155">
        <f>J52-X52</f>
        <v>-11481</v>
      </c>
      <c r="Z52" s="155">
        <v>-11501</v>
      </c>
      <c r="AA52" s="155">
        <f>K52-Z52</f>
        <v>-10491</v>
      </c>
      <c r="AB52" s="155">
        <v>-8568</v>
      </c>
      <c r="AC52" s="155">
        <f>L52-AB52</f>
        <v>-8655</v>
      </c>
      <c r="AD52" s="155">
        <v>-7749</v>
      </c>
      <c r="AE52" s="155">
        <f>M52-AD52</f>
        <v>-4632</v>
      </c>
      <c r="AF52" s="155">
        <v>-4398</v>
      </c>
      <c r="AG52" s="155">
        <v>-5762</v>
      </c>
      <c r="AH52" s="155">
        <v>-5785</v>
      </c>
      <c r="AI52" s="155">
        <v>-7254</v>
      </c>
      <c r="AJ52" s="155">
        <v>-11483</v>
      </c>
      <c r="AK52" s="155">
        <f t="shared" si="34"/>
        <v>-4356</v>
      </c>
      <c r="AL52" s="155">
        <v>-4231</v>
      </c>
      <c r="AN52" s="173"/>
      <c r="AO52" s="173"/>
    </row>
    <row r="53" spans="2:41">
      <c r="B53" s="466"/>
      <c r="C53" s="34"/>
      <c r="D53" s="36" t="s">
        <v>605</v>
      </c>
      <c r="E53" s="155">
        <v>-3617</v>
      </c>
      <c r="F53" s="155">
        <v>-2033</v>
      </c>
      <c r="G53" s="155">
        <v>-1241</v>
      </c>
      <c r="H53" s="155">
        <f>-1554</f>
        <v>-1554</v>
      </c>
      <c r="I53" s="155">
        <f>-1292</f>
        <v>-1292</v>
      </c>
      <c r="J53" s="155">
        <f>-1125</f>
        <v>-1125</v>
      </c>
      <c r="K53" s="155">
        <f>-1115</f>
        <v>-1115</v>
      </c>
      <c r="L53" s="155">
        <f>-1027</f>
        <v>-1027</v>
      </c>
      <c r="M53" s="155">
        <f>-887</f>
        <v>-887</v>
      </c>
      <c r="N53" s="155">
        <v>-729</v>
      </c>
      <c r="O53" s="155">
        <v>-1111</v>
      </c>
      <c r="P53" s="155">
        <v>-991</v>
      </c>
      <c r="R53" s="155">
        <v>-612</v>
      </c>
      <c r="S53" s="155">
        <f t="shared" si="0"/>
        <v>-629</v>
      </c>
      <c r="T53" s="155">
        <v>-893</v>
      </c>
      <c r="U53" s="155">
        <f t="shared" si="37"/>
        <v>-661</v>
      </c>
      <c r="V53" s="155">
        <v>-706</v>
      </c>
      <c r="W53" s="155">
        <f>I53-V53</f>
        <v>-586</v>
      </c>
      <c r="X53" s="155">
        <f>-514</f>
        <v>-514</v>
      </c>
      <c r="Y53" s="155">
        <f>J53-X53</f>
        <v>-611</v>
      </c>
      <c r="Z53" s="155">
        <v>-522</v>
      </c>
      <c r="AA53" s="155">
        <f>K53-Z53</f>
        <v>-593</v>
      </c>
      <c r="AB53" s="155">
        <v>-503</v>
      </c>
      <c r="AC53" s="155">
        <f>L53-AB53</f>
        <v>-524</v>
      </c>
      <c r="AD53" s="155">
        <v>-522</v>
      </c>
      <c r="AE53" s="155">
        <f>M53-AD53</f>
        <v>-365</v>
      </c>
      <c r="AF53" s="155">
        <v>-330</v>
      </c>
      <c r="AG53" s="155">
        <v>-399</v>
      </c>
      <c r="AH53" s="155">
        <v>-697</v>
      </c>
      <c r="AI53" s="155">
        <v>-414</v>
      </c>
      <c r="AJ53" s="155">
        <v>-617</v>
      </c>
      <c r="AK53" s="155">
        <f t="shared" si="34"/>
        <v>-374</v>
      </c>
      <c r="AL53" s="155">
        <v>-393</v>
      </c>
      <c r="AN53" s="173"/>
      <c r="AO53" s="173"/>
    </row>
    <row r="54" spans="2:41">
      <c r="B54" s="466"/>
      <c r="C54" s="34"/>
      <c r="D54" s="63" t="s">
        <v>5</v>
      </c>
      <c r="E54" s="156">
        <v>6144</v>
      </c>
      <c r="F54" s="156">
        <v>4262</v>
      </c>
      <c r="G54" s="156">
        <v>3166</v>
      </c>
      <c r="H54" s="156">
        <v>462</v>
      </c>
      <c r="I54" s="156">
        <v>235</v>
      </c>
      <c r="J54" s="156">
        <v>383</v>
      </c>
      <c r="K54" s="156">
        <v>166</v>
      </c>
      <c r="L54" s="156">
        <f>-612</f>
        <v>-612</v>
      </c>
      <c r="M54" s="156">
        <v>244</v>
      </c>
      <c r="N54" s="156">
        <v>20</v>
      </c>
      <c r="O54" s="156">
        <v>150</v>
      </c>
      <c r="P54" s="156">
        <v>177</v>
      </c>
      <c r="R54" s="156">
        <v>195</v>
      </c>
      <c r="S54" s="156">
        <f t="shared" si="0"/>
        <v>2971</v>
      </c>
      <c r="T54" s="156">
        <v>116</v>
      </c>
      <c r="U54" s="156">
        <f t="shared" si="37"/>
        <v>346</v>
      </c>
      <c r="V54" s="156">
        <v>336</v>
      </c>
      <c r="W54" s="156">
        <f>I54-V54</f>
        <v>-101</v>
      </c>
      <c r="X54" s="156">
        <v>271</v>
      </c>
      <c r="Y54" s="156">
        <f>J54-X54</f>
        <v>112</v>
      </c>
      <c r="Z54" s="156">
        <v>172</v>
      </c>
      <c r="AA54" s="156">
        <f>K54-Z54</f>
        <v>-6</v>
      </c>
      <c r="AB54" s="156">
        <v>-710</v>
      </c>
      <c r="AC54" s="156">
        <f>L54-AB54</f>
        <v>98</v>
      </c>
      <c r="AD54" s="156">
        <v>95</v>
      </c>
      <c r="AE54" s="156">
        <f>M54-AD54</f>
        <v>149</v>
      </c>
      <c r="AF54" s="156">
        <v>8</v>
      </c>
      <c r="AG54" s="156">
        <v>12</v>
      </c>
      <c r="AH54" s="156">
        <v>53</v>
      </c>
      <c r="AI54" s="156">
        <v>97</v>
      </c>
      <c r="AJ54" s="156">
        <v>114</v>
      </c>
      <c r="AK54" s="156">
        <f t="shared" si="34"/>
        <v>63</v>
      </c>
      <c r="AL54" s="156">
        <v>4</v>
      </c>
      <c r="AN54" s="173"/>
      <c r="AO54" s="173"/>
    </row>
    <row r="55" spans="2:41">
      <c r="B55" s="466"/>
      <c r="C55" s="34"/>
      <c r="D55" s="36" t="s">
        <v>6</v>
      </c>
      <c r="E55" s="155">
        <f t="shared" ref="E55:N55" si="38">SUM(E51:E54)</f>
        <v>-22704</v>
      </c>
      <c r="F55" s="155">
        <f t="shared" si="38"/>
        <v>4501</v>
      </c>
      <c r="G55" s="155">
        <f t="shared" si="38"/>
        <v>3533</v>
      </c>
      <c r="H55" s="155">
        <f t="shared" si="38"/>
        <v>3622</v>
      </c>
      <c r="I55" s="155">
        <f t="shared" si="38"/>
        <v>293</v>
      </c>
      <c r="J55" s="155">
        <f t="shared" si="38"/>
        <v>1154</v>
      </c>
      <c r="K55" s="155">
        <f t="shared" si="38"/>
        <v>1189</v>
      </c>
      <c r="L55" s="155">
        <f t="shared" si="38"/>
        <v>729</v>
      </c>
      <c r="M55" s="155">
        <f t="shared" si="38"/>
        <v>-115</v>
      </c>
      <c r="N55" s="155">
        <f t="shared" si="38"/>
        <v>58</v>
      </c>
      <c r="O55" s="155">
        <f>SUM(O51:O54)</f>
        <v>1009</v>
      </c>
      <c r="P55" s="155">
        <f>SUM(P51:P54)</f>
        <v>4321</v>
      </c>
      <c r="R55" s="155">
        <f t="shared" ref="R55:AL55" si="39">SUM(R51:R54)</f>
        <v>829</v>
      </c>
      <c r="S55" s="155">
        <f t="shared" si="0"/>
        <v>2704</v>
      </c>
      <c r="T55" s="155">
        <f t="shared" si="39"/>
        <v>683</v>
      </c>
      <c r="U55" s="155">
        <f t="shared" si="39"/>
        <v>2939</v>
      </c>
      <c r="V55" s="155">
        <f t="shared" si="39"/>
        <v>61</v>
      </c>
      <c r="W55" s="155">
        <f t="shared" si="39"/>
        <v>232</v>
      </c>
      <c r="X55" s="155">
        <f t="shared" si="39"/>
        <v>779</v>
      </c>
      <c r="Y55" s="155">
        <f t="shared" si="39"/>
        <v>375</v>
      </c>
      <c r="Z55" s="155">
        <f t="shared" si="39"/>
        <v>811</v>
      </c>
      <c r="AA55" s="155">
        <f t="shared" si="39"/>
        <v>378</v>
      </c>
      <c r="AB55" s="155">
        <f t="shared" si="39"/>
        <v>-39</v>
      </c>
      <c r="AC55" s="155">
        <f t="shared" si="39"/>
        <v>768</v>
      </c>
      <c r="AD55" s="155">
        <f t="shared" si="39"/>
        <v>417</v>
      </c>
      <c r="AE55" s="155">
        <f t="shared" si="39"/>
        <v>-532</v>
      </c>
      <c r="AF55" s="155">
        <f t="shared" si="39"/>
        <v>-113</v>
      </c>
      <c r="AG55" s="155">
        <f t="shared" si="39"/>
        <v>171</v>
      </c>
      <c r="AH55" s="155">
        <f t="shared" si="39"/>
        <v>-52</v>
      </c>
      <c r="AI55" s="155">
        <f t="shared" si="39"/>
        <v>1061</v>
      </c>
      <c r="AJ55" s="155">
        <f t="shared" si="39"/>
        <v>4284</v>
      </c>
      <c r="AK55" s="155">
        <f t="shared" si="39"/>
        <v>37</v>
      </c>
      <c r="AL55" s="155">
        <f t="shared" si="39"/>
        <v>-364</v>
      </c>
      <c r="AN55" s="173"/>
      <c r="AO55" s="173"/>
    </row>
    <row r="56" spans="2:41">
      <c r="B56" s="466"/>
      <c r="C56" s="34"/>
      <c r="D56" s="36"/>
      <c r="E56" s="155"/>
      <c r="F56" s="155"/>
      <c r="G56" s="155"/>
      <c r="H56" s="155"/>
      <c r="I56" s="155"/>
      <c r="J56" s="155"/>
      <c r="K56" s="155"/>
      <c r="L56" s="155"/>
      <c r="M56" s="155"/>
      <c r="N56" s="155"/>
      <c r="O56" s="155"/>
      <c r="P56" s="155"/>
      <c r="R56" s="155"/>
      <c r="S56" s="155"/>
      <c r="T56" s="155"/>
      <c r="U56" s="155"/>
      <c r="V56" s="155"/>
      <c r="W56" s="155"/>
      <c r="X56" s="155"/>
      <c r="Y56" s="155"/>
      <c r="Z56" s="155"/>
      <c r="AA56" s="155"/>
      <c r="AB56" s="155"/>
      <c r="AC56" s="155"/>
      <c r="AD56" s="155"/>
      <c r="AE56" s="155"/>
      <c r="AF56" s="155"/>
      <c r="AG56" s="155"/>
      <c r="AH56" s="155"/>
      <c r="AI56" s="155"/>
      <c r="AJ56" s="155"/>
      <c r="AK56" s="155"/>
      <c r="AL56" s="155"/>
      <c r="AN56" s="173"/>
      <c r="AO56" s="173"/>
    </row>
    <row r="57" spans="2:41">
      <c r="B57" s="466"/>
      <c r="C57" s="34"/>
      <c r="D57" s="36" t="s">
        <v>9</v>
      </c>
      <c r="E57" s="171">
        <v>-1085</v>
      </c>
      <c r="F57" s="171">
        <v>-311</v>
      </c>
      <c r="G57" s="171">
        <v>-1053</v>
      </c>
      <c r="H57" s="171">
        <f>-1389</f>
        <v>-1389</v>
      </c>
      <c r="I57" s="171">
        <f>-1190</f>
        <v>-1190</v>
      </c>
      <c r="J57" s="171">
        <f>-2650</f>
        <v>-2650</v>
      </c>
      <c r="K57" s="171">
        <f>-4926</f>
        <v>-4926</v>
      </c>
      <c r="L57" s="171">
        <f>-272</f>
        <v>-272</v>
      </c>
      <c r="M57" s="171">
        <f>-168</f>
        <v>-168</v>
      </c>
      <c r="N57" s="171">
        <v>-70</v>
      </c>
      <c r="O57" s="171">
        <v>-314</v>
      </c>
      <c r="P57" s="171">
        <v>-297</v>
      </c>
      <c r="R57" s="155">
        <v>43</v>
      </c>
      <c r="S57" s="155">
        <f t="shared" si="0"/>
        <v>-1096</v>
      </c>
      <c r="T57" s="155">
        <v>437</v>
      </c>
      <c r="U57" s="155">
        <f t="shared" ref="U57:U60" si="40">H57-T57</f>
        <v>-1826</v>
      </c>
      <c r="V57" s="155">
        <v>-882</v>
      </c>
      <c r="W57" s="155">
        <f>I57-V57</f>
        <v>-308</v>
      </c>
      <c r="X57" s="155">
        <v>-1576</v>
      </c>
      <c r="Y57" s="155">
        <f>J57-X57</f>
        <v>-1074</v>
      </c>
      <c r="Z57" s="155">
        <v>-1217</v>
      </c>
      <c r="AA57" s="155">
        <f>K57-Z57</f>
        <v>-3709</v>
      </c>
      <c r="AB57" s="155">
        <v>-157</v>
      </c>
      <c r="AC57" s="155">
        <f>L57-AB57</f>
        <v>-115</v>
      </c>
      <c r="AD57" s="155">
        <v>-92</v>
      </c>
      <c r="AE57" s="155">
        <f>M57-AD57</f>
        <v>-76</v>
      </c>
      <c r="AF57" s="155">
        <v>-52</v>
      </c>
      <c r="AG57" s="155">
        <v>-18</v>
      </c>
      <c r="AH57" s="155">
        <v>-218</v>
      </c>
      <c r="AI57" s="155">
        <v>-96</v>
      </c>
      <c r="AJ57" s="155">
        <f>-198</f>
        <v>-198</v>
      </c>
      <c r="AK57" s="155">
        <f t="shared" si="34"/>
        <v>-99</v>
      </c>
      <c r="AL57" s="155">
        <v>-132</v>
      </c>
      <c r="AN57" s="173"/>
      <c r="AO57" s="173"/>
    </row>
    <row r="58" spans="2:41">
      <c r="B58" s="466"/>
      <c r="C58" s="34"/>
      <c r="D58" s="36" t="s">
        <v>606</v>
      </c>
      <c r="E58" s="171">
        <v>2220</v>
      </c>
      <c r="F58" s="171">
        <v>1590</v>
      </c>
      <c r="G58" s="171">
        <v>1694</v>
      </c>
      <c r="H58" s="171">
        <v>1431</v>
      </c>
      <c r="I58" s="171">
        <v>133</v>
      </c>
      <c r="J58" s="171">
        <v>33</v>
      </c>
      <c r="K58" s="171">
        <v>0</v>
      </c>
      <c r="L58" s="171">
        <v>0</v>
      </c>
      <c r="M58" s="171">
        <v>0</v>
      </c>
      <c r="N58" s="171">
        <v>0</v>
      </c>
      <c r="O58" s="171">
        <v>0</v>
      </c>
      <c r="P58" s="171">
        <v>0</v>
      </c>
      <c r="R58" s="155">
        <v>845</v>
      </c>
      <c r="S58" s="155">
        <f t="shared" si="0"/>
        <v>849</v>
      </c>
      <c r="T58" s="155">
        <v>958</v>
      </c>
      <c r="U58" s="155">
        <f t="shared" si="40"/>
        <v>473</v>
      </c>
      <c r="V58" s="155">
        <v>79</v>
      </c>
      <c r="W58" s="155">
        <f>I58-V58</f>
        <v>54</v>
      </c>
      <c r="X58" s="155">
        <v>29</v>
      </c>
      <c r="Y58" s="155">
        <f>J58-X58</f>
        <v>4</v>
      </c>
      <c r="Z58" s="155">
        <v>0</v>
      </c>
      <c r="AA58" s="155">
        <f>K58-Z58</f>
        <v>0</v>
      </c>
      <c r="AB58" s="155">
        <v>0</v>
      </c>
      <c r="AC58" s="155">
        <f>L58-AB58</f>
        <v>0</v>
      </c>
      <c r="AD58" s="155">
        <v>0</v>
      </c>
      <c r="AE58" s="155">
        <f>M58-AD58</f>
        <v>0</v>
      </c>
      <c r="AF58" s="155">
        <v>0</v>
      </c>
      <c r="AG58" s="155">
        <v>0</v>
      </c>
      <c r="AH58" s="155">
        <v>0</v>
      </c>
      <c r="AI58" s="155">
        <v>0</v>
      </c>
      <c r="AJ58" s="155">
        <v>0</v>
      </c>
      <c r="AK58" s="155">
        <f t="shared" si="34"/>
        <v>0</v>
      </c>
      <c r="AL58" s="155">
        <v>0</v>
      </c>
      <c r="AN58" s="173"/>
      <c r="AO58" s="173"/>
    </row>
    <row r="59" spans="2:41">
      <c r="B59" s="466"/>
      <c r="C59" s="34"/>
      <c r="D59" s="36" t="s">
        <v>607</v>
      </c>
      <c r="E59" s="171">
        <v>-2084</v>
      </c>
      <c r="F59" s="171">
        <v>-1739</v>
      </c>
      <c r="G59" s="171">
        <v>-2013</v>
      </c>
      <c r="H59" s="171">
        <v>-2203</v>
      </c>
      <c r="I59" s="171">
        <f>-2199</f>
        <v>-2199</v>
      </c>
      <c r="J59" s="171">
        <f>-1922</f>
        <v>-1922</v>
      </c>
      <c r="K59" s="171">
        <f>-1699</f>
        <v>-1699</v>
      </c>
      <c r="L59" s="171">
        <f>-261</f>
        <v>-261</v>
      </c>
      <c r="M59" s="171">
        <f>-168</f>
        <v>-168</v>
      </c>
      <c r="N59" s="171">
        <v>-85</v>
      </c>
      <c r="O59" s="171">
        <v>-63</v>
      </c>
      <c r="P59" s="171">
        <v>-199</v>
      </c>
      <c r="R59" s="155">
        <v>-913</v>
      </c>
      <c r="S59" s="155">
        <f t="shared" si="0"/>
        <v>-1100</v>
      </c>
      <c r="T59" s="155">
        <v>-1128</v>
      </c>
      <c r="U59" s="155">
        <f t="shared" si="40"/>
        <v>-1075</v>
      </c>
      <c r="V59" s="155">
        <v>-1162</v>
      </c>
      <c r="W59" s="155">
        <f>I59-V59</f>
        <v>-1037</v>
      </c>
      <c r="X59" s="155">
        <v>-969</v>
      </c>
      <c r="Y59" s="155">
        <f>J59-X59</f>
        <v>-953</v>
      </c>
      <c r="Z59" s="155">
        <v>-936</v>
      </c>
      <c r="AA59" s="155">
        <f>K59-Z59</f>
        <v>-763</v>
      </c>
      <c r="AB59" s="155">
        <v>-150</v>
      </c>
      <c r="AC59" s="155">
        <f>L59-AB59</f>
        <v>-111</v>
      </c>
      <c r="AD59" s="155">
        <v>-94</v>
      </c>
      <c r="AE59" s="155">
        <f>M59-AD59</f>
        <v>-74</v>
      </c>
      <c r="AF59" s="155">
        <v>-53</v>
      </c>
      <c r="AG59" s="155">
        <v>-32</v>
      </c>
      <c r="AH59" s="155">
        <v>-27</v>
      </c>
      <c r="AI59" s="155">
        <v>-36</v>
      </c>
      <c r="AJ59" s="155">
        <f>-95</f>
        <v>-95</v>
      </c>
      <c r="AK59" s="155">
        <f t="shared" si="34"/>
        <v>-104</v>
      </c>
      <c r="AL59" s="155">
        <v>-101</v>
      </c>
      <c r="AN59" s="173"/>
      <c r="AO59" s="173"/>
    </row>
    <row r="60" spans="2:41">
      <c r="B60" s="466"/>
      <c r="C60" s="34"/>
      <c r="D60" s="36" t="s">
        <v>608</v>
      </c>
      <c r="E60" s="171">
        <v>0</v>
      </c>
      <c r="F60" s="171">
        <v>0</v>
      </c>
      <c r="G60" s="171">
        <v>0</v>
      </c>
      <c r="H60" s="171">
        <v>0</v>
      </c>
      <c r="I60" s="171">
        <v>0</v>
      </c>
      <c r="J60" s="171">
        <v>0</v>
      </c>
      <c r="K60" s="171">
        <v>0</v>
      </c>
      <c r="L60" s="171">
        <v>0</v>
      </c>
      <c r="M60" s="171">
        <v>0</v>
      </c>
      <c r="N60" s="171">
        <v>0</v>
      </c>
      <c r="O60" s="171">
        <v>-189</v>
      </c>
      <c r="P60" s="171">
        <v>-45</v>
      </c>
      <c r="R60" s="155">
        <v>0</v>
      </c>
      <c r="S60" s="155">
        <f t="shared" si="0"/>
        <v>0</v>
      </c>
      <c r="T60" s="155">
        <v>0</v>
      </c>
      <c r="U60" s="155">
        <f t="shared" si="40"/>
        <v>0</v>
      </c>
      <c r="V60" s="155">
        <v>0</v>
      </c>
      <c r="W60" s="155">
        <f>I60-V60</f>
        <v>0</v>
      </c>
      <c r="X60" s="155">
        <v>0</v>
      </c>
      <c r="Y60" s="155">
        <f>J60-X60</f>
        <v>0</v>
      </c>
      <c r="Z60" s="155">
        <v>0</v>
      </c>
      <c r="AA60" s="155">
        <f>K60-Z60</f>
        <v>0</v>
      </c>
      <c r="AB60" s="155">
        <v>0</v>
      </c>
      <c r="AC60" s="155">
        <f>L60-AB60</f>
        <v>0</v>
      </c>
      <c r="AD60" s="155">
        <v>0</v>
      </c>
      <c r="AE60" s="155">
        <f>M60-AD60</f>
        <v>0</v>
      </c>
      <c r="AF60" s="155">
        <v>0</v>
      </c>
      <c r="AG60" s="155">
        <v>0</v>
      </c>
      <c r="AH60" s="155">
        <v>0</v>
      </c>
      <c r="AI60" s="155">
        <v>-189</v>
      </c>
      <c r="AJ60" s="155">
        <v>-77</v>
      </c>
      <c r="AK60" s="155">
        <f t="shared" si="34"/>
        <v>32</v>
      </c>
      <c r="AL60" s="155">
        <v>11</v>
      </c>
      <c r="AN60" s="173"/>
      <c r="AO60" s="173"/>
    </row>
    <row r="61" spans="2:41">
      <c r="B61" s="466"/>
      <c r="C61" s="34"/>
      <c r="D61" s="36" t="s">
        <v>609</v>
      </c>
      <c r="E61" s="216" t="s">
        <v>694</v>
      </c>
      <c r="F61" s="216" t="s">
        <v>694</v>
      </c>
      <c r="G61" s="216" t="s">
        <v>694</v>
      </c>
      <c r="H61" s="216" t="s">
        <v>694</v>
      </c>
      <c r="I61" s="216" t="s">
        <v>694</v>
      </c>
      <c r="J61" s="216" t="s">
        <v>694</v>
      </c>
      <c r="K61" s="171">
        <v>-3227</v>
      </c>
      <c r="L61" s="171">
        <v>-11</v>
      </c>
      <c r="M61" s="401">
        <v>0</v>
      </c>
      <c r="N61" s="171">
        <v>15</v>
      </c>
      <c r="O61" s="171">
        <v>-62</v>
      </c>
      <c r="P61" s="171">
        <v>-53</v>
      </c>
      <c r="R61" s="216" t="s">
        <v>694</v>
      </c>
      <c r="S61" s="216" t="s">
        <v>694</v>
      </c>
      <c r="T61" s="216" t="s">
        <v>694</v>
      </c>
      <c r="U61" s="216" t="s">
        <v>694</v>
      </c>
      <c r="V61" s="216" t="s">
        <v>694</v>
      </c>
      <c r="W61" s="216" t="s">
        <v>694</v>
      </c>
      <c r="X61" s="216" t="s">
        <v>694</v>
      </c>
      <c r="Y61" s="216" t="s">
        <v>694</v>
      </c>
      <c r="Z61" s="216" t="s">
        <v>694</v>
      </c>
      <c r="AA61" s="216" t="s">
        <v>694</v>
      </c>
      <c r="AB61" s="155">
        <f>-7</f>
        <v>-7</v>
      </c>
      <c r="AC61" s="155">
        <f>L61-AB61</f>
        <v>-4</v>
      </c>
      <c r="AD61" s="155">
        <v>2</v>
      </c>
      <c r="AE61" s="155">
        <f>M61-AD61</f>
        <v>-2</v>
      </c>
      <c r="AF61" s="155">
        <v>1</v>
      </c>
      <c r="AG61" s="155">
        <v>14</v>
      </c>
      <c r="AH61" s="155">
        <v>-30</v>
      </c>
      <c r="AI61" s="155">
        <v>-33</v>
      </c>
      <c r="AJ61" s="155">
        <v>-26</v>
      </c>
      <c r="AK61" s="155">
        <f t="shared" si="34"/>
        <v>-27</v>
      </c>
      <c r="AL61" s="155">
        <v>-42</v>
      </c>
      <c r="AN61" s="173"/>
      <c r="AO61" s="173"/>
    </row>
    <row r="62" spans="2:41" ht="12.75" customHeight="1">
      <c r="B62" s="466"/>
      <c r="C62" s="34"/>
      <c r="D62" s="36"/>
      <c r="E62" s="155"/>
      <c r="F62" s="155"/>
      <c r="G62" s="155"/>
      <c r="H62" s="155"/>
      <c r="I62" s="155"/>
      <c r="J62" s="155"/>
      <c r="K62" s="155"/>
      <c r="L62" s="155"/>
      <c r="M62" s="155"/>
      <c r="N62" s="155"/>
      <c r="O62" s="155"/>
      <c r="P62" s="155"/>
      <c r="R62" s="155"/>
      <c r="S62" s="155"/>
      <c r="T62" s="155"/>
      <c r="U62" s="155"/>
      <c r="V62" s="155"/>
      <c r="W62" s="155"/>
      <c r="X62" s="155"/>
      <c r="Y62" s="155"/>
      <c r="Z62" s="155"/>
      <c r="AA62" s="155"/>
      <c r="AB62" s="155"/>
      <c r="AC62" s="155"/>
      <c r="AD62" s="155"/>
      <c r="AE62" s="155"/>
      <c r="AF62" s="155"/>
      <c r="AG62" s="155"/>
      <c r="AH62" s="155"/>
      <c r="AI62" s="155"/>
      <c r="AJ62" s="155"/>
      <c r="AK62" s="155"/>
      <c r="AL62" s="155"/>
      <c r="AN62" s="173"/>
      <c r="AO62" s="173"/>
    </row>
    <row r="63" spans="2:41">
      <c r="B63" s="466"/>
      <c r="C63" s="34"/>
      <c r="D63" s="36" t="s">
        <v>610</v>
      </c>
      <c r="E63" s="155">
        <v>0</v>
      </c>
      <c r="F63" s="155">
        <v>0</v>
      </c>
      <c r="G63" s="155">
        <v>0</v>
      </c>
      <c r="H63" s="155">
        <v>0</v>
      </c>
      <c r="I63" s="155">
        <v>0</v>
      </c>
      <c r="J63" s="155">
        <v>0</v>
      </c>
      <c r="K63" s="155">
        <v>0</v>
      </c>
      <c r="L63" s="155">
        <v>0</v>
      </c>
      <c r="M63" s="155">
        <v>0</v>
      </c>
      <c r="N63" s="155">
        <v>0</v>
      </c>
      <c r="O63" s="155">
        <v>0</v>
      </c>
      <c r="P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f t="shared" si="34"/>
        <v>0</v>
      </c>
      <c r="AL63" s="155">
        <v>0</v>
      </c>
      <c r="AN63" s="173"/>
      <c r="AO63" s="173"/>
    </row>
    <row r="64" spans="2:41">
      <c r="B64" s="466"/>
      <c r="C64" s="34"/>
      <c r="D64" s="63"/>
      <c r="E64" s="156"/>
      <c r="F64" s="156"/>
      <c r="G64" s="156"/>
      <c r="H64" s="156"/>
      <c r="I64" s="156"/>
      <c r="J64" s="156"/>
      <c r="K64" s="156"/>
      <c r="L64" s="156"/>
      <c r="M64" s="156"/>
      <c r="N64" s="156"/>
      <c r="O64" s="156"/>
      <c r="P64" s="156"/>
      <c r="R64" s="156"/>
      <c r="S64" s="156"/>
      <c r="T64" s="156"/>
      <c r="U64" s="156"/>
      <c r="V64" s="156"/>
      <c r="W64" s="156"/>
      <c r="X64" s="156"/>
      <c r="Y64" s="156"/>
      <c r="Z64" s="156"/>
      <c r="AA64" s="156"/>
      <c r="AB64" s="156"/>
      <c r="AC64" s="156"/>
      <c r="AD64" s="156"/>
      <c r="AE64" s="156"/>
      <c r="AF64" s="156"/>
      <c r="AG64" s="156"/>
      <c r="AH64" s="156"/>
      <c r="AI64" s="156"/>
      <c r="AJ64" s="156"/>
      <c r="AK64" s="156"/>
      <c r="AL64" s="156"/>
      <c r="AN64" s="173"/>
      <c r="AO64" s="173"/>
    </row>
    <row r="65" spans="2:41">
      <c r="B65" s="466"/>
      <c r="C65" s="34"/>
      <c r="D65" s="36" t="s">
        <v>10</v>
      </c>
      <c r="E65" s="155">
        <f t="shared" ref="E65:O65" si="41">SUM(E55:E57,E63)</f>
        <v>-23789</v>
      </c>
      <c r="F65" s="155">
        <f t="shared" si="41"/>
        <v>4190</v>
      </c>
      <c r="G65" s="155">
        <f t="shared" si="41"/>
        <v>2480</v>
      </c>
      <c r="H65" s="155">
        <f t="shared" si="41"/>
        <v>2233</v>
      </c>
      <c r="I65" s="155">
        <f t="shared" si="41"/>
        <v>-897</v>
      </c>
      <c r="J65" s="155">
        <f t="shared" si="41"/>
        <v>-1496</v>
      </c>
      <c r="K65" s="155">
        <f t="shared" si="41"/>
        <v>-3737</v>
      </c>
      <c r="L65" s="155">
        <f t="shared" si="41"/>
        <v>457</v>
      </c>
      <c r="M65" s="155">
        <f t="shared" si="41"/>
        <v>-283</v>
      </c>
      <c r="N65" s="155">
        <f t="shared" si="41"/>
        <v>-12</v>
      </c>
      <c r="O65" s="155">
        <f t="shared" si="41"/>
        <v>695</v>
      </c>
      <c r="P65" s="155">
        <v>4024</v>
      </c>
      <c r="R65" s="155">
        <f>SUM(R55:R57,R63)</f>
        <v>872</v>
      </c>
      <c r="S65" s="155">
        <f t="shared" si="0"/>
        <v>1608</v>
      </c>
      <c r="T65" s="155">
        <f t="shared" ref="T65:AJ65" si="42">SUM(T55:T57,T63)</f>
        <v>1120</v>
      </c>
      <c r="U65" s="155">
        <f t="shared" si="42"/>
        <v>1113</v>
      </c>
      <c r="V65" s="155">
        <f t="shared" si="42"/>
        <v>-821</v>
      </c>
      <c r="W65" s="155">
        <f t="shared" si="42"/>
        <v>-76</v>
      </c>
      <c r="X65" s="155">
        <f t="shared" si="42"/>
        <v>-797</v>
      </c>
      <c r="Y65" s="155">
        <f t="shared" si="42"/>
        <v>-699</v>
      </c>
      <c r="Z65" s="155">
        <f t="shared" si="42"/>
        <v>-406</v>
      </c>
      <c r="AA65" s="155">
        <f t="shared" si="42"/>
        <v>-3331</v>
      </c>
      <c r="AB65" s="155">
        <f t="shared" si="42"/>
        <v>-196</v>
      </c>
      <c r="AC65" s="155">
        <f t="shared" si="42"/>
        <v>653</v>
      </c>
      <c r="AD65" s="155">
        <f t="shared" si="42"/>
        <v>325</v>
      </c>
      <c r="AE65" s="155">
        <f t="shared" si="42"/>
        <v>-608</v>
      </c>
      <c r="AF65" s="155">
        <f t="shared" si="42"/>
        <v>-165</v>
      </c>
      <c r="AG65" s="155">
        <f t="shared" si="42"/>
        <v>153</v>
      </c>
      <c r="AH65" s="155">
        <f t="shared" si="42"/>
        <v>-270</v>
      </c>
      <c r="AI65" s="155">
        <f t="shared" si="42"/>
        <v>965</v>
      </c>
      <c r="AJ65" s="155">
        <f t="shared" si="42"/>
        <v>4086</v>
      </c>
      <c r="AK65" s="155">
        <f t="shared" si="34"/>
        <v>-62</v>
      </c>
      <c r="AL65" s="155">
        <v>-496</v>
      </c>
      <c r="AN65" s="173"/>
      <c r="AO65" s="173"/>
    </row>
    <row r="66" spans="2:41">
      <c r="B66" s="466"/>
      <c r="C66" s="34"/>
      <c r="D66" s="41" t="s">
        <v>11</v>
      </c>
      <c r="E66" s="154">
        <v>5195</v>
      </c>
      <c r="F66" s="154">
        <v>-830</v>
      </c>
      <c r="G66" s="154">
        <v>-940</v>
      </c>
      <c r="H66" s="154">
        <v>-632</v>
      </c>
      <c r="I66" s="154">
        <f>-217</f>
        <v>-217</v>
      </c>
      <c r="J66" s="154">
        <f>-192</f>
        <v>-192</v>
      </c>
      <c r="K66" s="154">
        <f>-172</f>
        <v>-172</v>
      </c>
      <c r="L66" s="154">
        <f>-336</f>
        <v>-336</v>
      </c>
      <c r="M66" s="154">
        <v>206</v>
      </c>
      <c r="N66" s="154">
        <v>-1</v>
      </c>
      <c r="O66" s="154">
        <v>-149</v>
      </c>
      <c r="P66" s="154">
        <v>-760</v>
      </c>
      <c r="R66" s="154">
        <v>-397</v>
      </c>
      <c r="S66" s="154">
        <f t="shared" si="0"/>
        <v>-543</v>
      </c>
      <c r="T66" s="154">
        <v>-144</v>
      </c>
      <c r="U66" s="154">
        <f>H66-T66</f>
        <v>-488</v>
      </c>
      <c r="V66" s="154">
        <v>48</v>
      </c>
      <c r="W66" s="154">
        <f>I66-V66</f>
        <v>-265</v>
      </c>
      <c r="X66" s="154">
        <v>-123</v>
      </c>
      <c r="Y66" s="154">
        <f>J66-X66</f>
        <v>-69</v>
      </c>
      <c r="Z66" s="154">
        <v>-112</v>
      </c>
      <c r="AA66" s="154">
        <f>K66-Z66</f>
        <v>-60</v>
      </c>
      <c r="AB66" s="154">
        <v>-48</v>
      </c>
      <c r="AC66" s="154">
        <f>L66-AB66</f>
        <v>-288</v>
      </c>
      <c r="AD66" s="154">
        <v>-61</v>
      </c>
      <c r="AE66" s="154">
        <f>M66-AD66</f>
        <v>267</v>
      </c>
      <c r="AF66" s="154">
        <v>34</v>
      </c>
      <c r="AG66" s="154">
        <v>-35</v>
      </c>
      <c r="AH66" s="154">
        <v>64</v>
      </c>
      <c r="AI66" s="154">
        <v>-213</v>
      </c>
      <c r="AJ66" s="154">
        <v>-822</v>
      </c>
      <c r="AK66" s="154">
        <f t="shared" si="34"/>
        <v>62</v>
      </c>
      <c r="AL66" s="154">
        <v>99</v>
      </c>
      <c r="AN66" s="173"/>
      <c r="AO66" s="173"/>
    </row>
    <row r="67" spans="2:41">
      <c r="B67" s="466"/>
      <c r="C67" s="34"/>
      <c r="D67" s="32" t="s">
        <v>611</v>
      </c>
      <c r="E67" s="160">
        <f t="shared" ref="E67:N67" si="43">E65+E66</f>
        <v>-18594</v>
      </c>
      <c r="F67" s="160">
        <f t="shared" si="43"/>
        <v>3360</v>
      </c>
      <c r="G67" s="160">
        <f t="shared" si="43"/>
        <v>1540</v>
      </c>
      <c r="H67" s="160">
        <f t="shared" si="43"/>
        <v>1601</v>
      </c>
      <c r="I67" s="160">
        <f t="shared" si="43"/>
        <v>-1114</v>
      </c>
      <c r="J67" s="160">
        <f t="shared" si="43"/>
        <v>-1688</v>
      </c>
      <c r="K67" s="160">
        <f t="shared" si="43"/>
        <v>-3909</v>
      </c>
      <c r="L67" s="160">
        <f t="shared" si="43"/>
        <v>121</v>
      </c>
      <c r="M67" s="160">
        <f t="shared" si="43"/>
        <v>-77</v>
      </c>
      <c r="N67" s="160">
        <f t="shared" si="43"/>
        <v>-13</v>
      </c>
      <c r="O67" s="160">
        <f>O65+O66</f>
        <v>546</v>
      </c>
      <c r="P67" s="160">
        <f>P65+P66</f>
        <v>3264</v>
      </c>
      <c r="R67" s="160">
        <f t="shared" ref="R67:AL67" si="44">R65+R66</f>
        <v>475</v>
      </c>
      <c r="S67" s="160">
        <f t="shared" si="0"/>
        <v>1065</v>
      </c>
      <c r="T67" s="160">
        <f t="shared" si="44"/>
        <v>976</v>
      </c>
      <c r="U67" s="160">
        <f t="shared" si="44"/>
        <v>625</v>
      </c>
      <c r="V67" s="160">
        <f t="shared" si="44"/>
        <v>-773</v>
      </c>
      <c r="W67" s="160">
        <f t="shared" si="44"/>
        <v>-341</v>
      </c>
      <c r="X67" s="160">
        <f t="shared" si="44"/>
        <v>-920</v>
      </c>
      <c r="Y67" s="160">
        <f t="shared" si="44"/>
        <v>-768</v>
      </c>
      <c r="Z67" s="160">
        <f t="shared" si="44"/>
        <v>-518</v>
      </c>
      <c r="AA67" s="160">
        <f t="shared" si="44"/>
        <v>-3391</v>
      </c>
      <c r="AB67" s="160">
        <f t="shared" si="44"/>
        <v>-244</v>
      </c>
      <c r="AC67" s="160">
        <f t="shared" si="44"/>
        <v>365</v>
      </c>
      <c r="AD67" s="160">
        <f t="shared" si="44"/>
        <v>264</v>
      </c>
      <c r="AE67" s="160">
        <f t="shared" si="44"/>
        <v>-341</v>
      </c>
      <c r="AF67" s="160">
        <f t="shared" si="44"/>
        <v>-131</v>
      </c>
      <c r="AG67" s="160">
        <f t="shared" si="44"/>
        <v>118</v>
      </c>
      <c r="AH67" s="160">
        <f t="shared" si="44"/>
        <v>-206</v>
      </c>
      <c r="AI67" s="160">
        <f t="shared" si="44"/>
        <v>752</v>
      </c>
      <c r="AJ67" s="160">
        <f t="shared" si="44"/>
        <v>3264</v>
      </c>
      <c r="AK67" s="160">
        <f t="shared" si="44"/>
        <v>0</v>
      </c>
      <c r="AL67" s="160">
        <f t="shared" si="44"/>
        <v>-397</v>
      </c>
      <c r="AN67" s="173"/>
      <c r="AO67" s="173"/>
    </row>
    <row r="68" spans="2:41">
      <c r="B68" s="466"/>
      <c r="C68" s="34"/>
      <c r="D68" s="35"/>
      <c r="E68" s="157"/>
      <c r="F68" s="157"/>
      <c r="G68" s="157"/>
      <c r="H68" s="157"/>
      <c r="I68" s="157"/>
      <c r="J68" s="157"/>
      <c r="K68" s="157"/>
      <c r="L68" s="157"/>
      <c r="M68" s="157"/>
      <c r="N68" s="157"/>
      <c r="O68" s="157"/>
      <c r="P68" s="157"/>
      <c r="R68" s="157"/>
      <c r="S68" s="157">
        <f t="shared" si="0"/>
        <v>0</v>
      </c>
      <c r="T68" s="157"/>
      <c r="U68" s="157"/>
      <c r="V68" s="157"/>
      <c r="W68" s="157"/>
      <c r="X68" s="157"/>
      <c r="Y68" s="157"/>
      <c r="Z68" s="157"/>
      <c r="AA68" s="157"/>
      <c r="AB68" s="157"/>
      <c r="AC68" s="157"/>
      <c r="AD68" s="157"/>
      <c r="AE68" s="157"/>
      <c r="AF68" s="157"/>
      <c r="AG68" s="157"/>
      <c r="AH68" s="157"/>
      <c r="AI68" s="157"/>
      <c r="AJ68" s="157"/>
      <c r="AK68" s="157"/>
      <c r="AL68" s="157"/>
      <c r="AN68" s="173"/>
      <c r="AO68" s="173"/>
    </row>
    <row r="69" spans="2:41">
      <c r="B69" s="466"/>
      <c r="C69" s="34"/>
      <c r="D69" s="63" t="s">
        <v>612</v>
      </c>
      <c r="E69" s="156">
        <v>4615</v>
      </c>
      <c r="F69" s="156">
        <v>843</v>
      </c>
      <c r="G69" s="156">
        <v>112</v>
      </c>
      <c r="H69" s="156">
        <v>1677</v>
      </c>
      <c r="I69" s="156">
        <v>485</v>
      </c>
      <c r="J69" s="156">
        <v>1676</v>
      </c>
      <c r="K69" s="156">
        <v>325</v>
      </c>
      <c r="L69" s="156">
        <v>3483</v>
      </c>
      <c r="M69" s="156">
        <v>120</v>
      </c>
      <c r="N69" s="156">
        <v>0</v>
      </c>
      <c r="O69" s="156">
        <v>4587</v>
      </c>
      <c r="P69" s="156">
        <v>313</v>
      </c>
      <c r="R69" s="156">
        <v>113</v>
      </c>
      <c r="S69" s="156">
        <f t="shared" si="0"/>
        <v>-1</v>
      </c>
      <c r="T69" s="156">
        <v>663</v>
      </c>
      <c r="U69" s="156">
        <f>H69-T69</f>
        <v>1014</v>
      </c>
      <c r="V69" s="156">
        <v>403</v>
      </c>
      <c r="W69" s="156">
        <f>I69-V69</f>
        <v>82</v>
      </c>
      <c r="X69" s="156">
        <v>0</v>
      </c>
      <c r="Y69" s="156">
        <f>J69-X69</f>
        <v>1676</v>
      </c>
      <c r="Z69" s="156">
        <v>155</v>
      </c>
      <c r="AA69" s="156">
        <f>K69-Z69</f>
        <v>170</v>
      </c>
      <c r="AB69" s="156">
        <v>1947</v>
      </c>
      <c r="AC69" s="156">
        <f>L69-AB69</f>
        <v>1536</v>
      </c>
      <c r="AD69" s="156">
        <v>22</v>
      </c>
      <c r="AE69" s="156">
        <f>M69-AD69</f>
        <v>98</v>
      </c>
      <c r="AF69" s="156">
        <v>0</v>
      </c>
      <c r="AG69" s="156">
        <v>0</v>
      </c>
      <c r="AH69" s="156">
        <v>1641</v>
      </c>
      <c r="AI69" s="156">
        <v>2946</v>
      </c>
      <c r="AJ69" s="156">
        <v>252</v>
      </c>
      <c r="AK69" s="156">
        <f t="shared" si="34"/>
        <v>61</v>
      </c>
      <c r="AL69" s="156">
        <v>7131</v>
      </c>
      <c r="AN69" s="173"/>
      <c r="AO69" s="173"/>
    </row>
    <row r="70" spans="2:41">
      <c r="B70" s="466"/>
      <c r="C70" s="34"/>
      <c r="D70" s="36"/>
      <c r="E70" s="155"/>
      <c r="F70" s="155"/>
      <c r="G70" s="155"/>
      <c r="H70" s="155"/>
      <c r="I70" s="155"/>
      <c r="J70" s="155"/>
      <c r="K70" s="155"/>
      <c r="L70" s="155"/>
      <c r="M70" s="155"/>
      <c r="N70" s="155"/>
      <c r="O70" s="155"/>
      <c r="P70" s="155"/>
      <c r="R70" s="155"/>
      <c r="S70" s="155">
        <f t="shared" si="0"/>
        <v>0</v>
      </c>
      <c r="T70" s="155"/>
      <c r="U70" s="155"/>
      <c r="V70" s="155"/>
      <c r="W70" s="155"/>
      <c r="X70" s="155"/>
      <c r="Y70" s="155"/>
      <c r="Z70" s="155"/>
      <c r="AA70" s="155"/>
      <c r="AB70" s="155"/>
      <c r="AC70" s="155"/>
      <c r="AD70" s="155"/>
      <c r="AE70" s="155"/>
      <c r="AF70" s="155"/>
      <c r="AG70" s="155"/>
      <c r="AH70" s="155"/>
      <c r="AI70" s="155"/>
      <c r="AJ70" s="155"/>
      <c r="AK70" s="155"/>
      <c r="AL70" s="155"/>
      <c r="AN70" s="173"/>
      <c r="AO70" s="173"/>
    </row>
    <row r="71" spans="2:41">
      <c r="B71" s="466"/>
      <c r="C71" s="34"/>
      <c r="D71" s="36" t="s">
        <v>613</v>
      </c>
      <c r="E71" s="155">
        <v>23380</v>
      </c>
      <c r="F71" s="155">
        <v>24815</v>
      </c>
      <c r="G71" s="155">
        <v>23588</v>
      </c>
      <c r="H71" s="155">
        <v>20388</v>
      </c>
      <c r="I71" s="155">
        <v>15208</v>
      </c>
      <c r="J71" s="155">
        <v>15191</v>
      </c>
      <c r="K71" s="155">
        <v>12291</v>
      </c>
      <c r="L71" s="155">
        <v>8913</v>
      </c>
      <c r="M71" s="155">
        <v>6980</v>
      </c>
      <c r="N71" s="155">
        <v>6125</v>
      </c>
      <c r="O71" s="155">
        <v>8492</v>
      </c>
      <c r="P71" s="155">
        <v>7109</v>
      </c>
      <c r="R71" s="155">
        <v>19587</v>
      </c>
      <c r="S71" s="155">
        <f>G71</f>
        <v>23588</v>
      </c>
      <c r="T71" s="155">
        <v>24098</v>
      </c>
      <c r="U71" s="155">
        <f>H71</f>
        <v>20388</v>
      </c>
      <c r="V71" s="155">
        <v>18748</v>
      </c>
      <c r="W71" s="155">
        <f>I71</f>
        <v>15208</v>
      </c>
      <c r="X71" s="155">
        <v>13838</v>
      </c>
      <c r="Y71" s="155">
        <f>J71</f>
        <v>15191</v>
      </c>
      <c r="Z71" s="155">
        <v>13911</v>
      </c>
      <c r="AA71" s="155">
        <f>K71</f>
        <v>12291</v>
      </c>
      <c r="AB71" s="155">
        <v>9135</v>
      </c>
      <c r="AC71" s="155">
        <f>L71</f>
        <v>8913</v>
      </c>
      <c r="AD71" s="155">
        <v>7964</v>
      </c>
      <c r="AE71" s="155">
        <f>M71</f>
        <v>6980</v>
      </c>
      <c r="AF71" s="155">
        <v>6674</v>
      </c>
      <c r="AG71" s="155">
        <f>N71</f>
        <v>6125</v>
      </c>
      <c r="AH71" s="155">
        <v>8735</v>
      </c>
      <c r="AI71" s="155">
        <f>O71</f>
        <v>8492</v>
      </c>
      <c r="AJ71" s="155">
        <v>7880</v>
      </c>
      <c r="AK71" s="155">
        <f>P71</f>
        <v>7109</v>
      </c>
      <c r="AL71" s="155">
        <v>13616</v>
      </c>
      <c r="AN71" s="173"/>
      <c r="AO71" s="173"/>
    </row>
    <row r="72" spans="2:41">
      <c r="B72" s="466"/>
      <c r="C72" s="34"/>
      <c r="D72" s="36" t="s">
        <v>720</v>
      </c>
      <c r="E72" s="216" t="s">
        <v>694</v>
      </c>
      <c r="F72" s="216" t="s">
        <v>694</v>
      </c>
      <c r="G72" s="216" t="s">
        <v>694</v>
      </c>
      <c r="H72" s="216" t="s">
        <v>694</v>
      </c>
      <c r="I72" s="216" t="s">
        <v>694</v>
      </c>
      <c r="J72" s="216" t="s">
        <v>694</v>
      </c>
      <c r="K72" s="216" t="s">
        <v>694</v>
      </c>
      <c r="L72" s="216" t="s">
        <v>694</v>
      </c>
      <c r="M72" s="216" t="s">
        <v>694</v>
      </c>
      <c r="N72" s="216" t="s">
        <v>694</v>
      </c>
      <c r="O72" s="216" t="s">
        <v>694</v>
      </c>
      <c r="P72" s="155">
        <v>2510</v>
      </c>
      <c r="R72" s="216" t="s">
        <v>694</v>
      </c>
      <c r="S72" s="216" t="s">
        <v>694</v>
      </c>
      <c r="T72" s="216" t="s">
        <v>694</v>
      </c>
      <c r="U72" s="216" t="s">
        <v>694</v>
      </c>
      <c r="V72" s="216" t="s">
        <v>694</v>
      </c>
      <c r="W72" s="216" t="s">
        <v>694</v>
      </c>
      <c r="X72" s="216" t="s">
        <v>694</v>
      </c>
      <c r="Y72" s="216" t="s">
        <v>694</v>
      </c>
      <c r="Z72" s="216" t="s">
        <v>694</v>
      </c>
      <c r="AA72" s="216" t="s">
        <v>694</v>
      </c>
      <c r="AB72" s="216" t="s">
        <v>694</v>
      </c>
      <c r="AC72" s="216" t="s">
        <v>694</v>
      </c>
      <c r="AD72" s="216" t="s">
        <v>694</v>
      </c>
      <c r="AE72" s="216" t="s">
        <v>694</v>
      </c>
      <c r="AF72" s="216" t="s">
        <v>694</v>
      </c>
      <c r="AG72" s="216" t="s">
        <v>694</v>
      </c>
      <c r="AH72" s="216" t="s">
        <v>694</v>
      </c>
      <c r="AI72" s="216" t="s">
        <v>694</v>
      </c>
      <c r="AJ72" s="155">
        <v>2733</v>
      </c>
      <c r="AK72" s="155">
        <f t="shared" ref="AK72:AK88" si="45">P72</f>
        <v>2510</v>
      </c>
      <c r="AL72" s="155">
        <v>3252</v>
      </c>
      <c r="AN72" s="173"/>
      <c r="AO72" s="173"/>
    </row>
    <row r="73" spans="2:41">
      <c r="B73" s="466"/>
      <c r="C73" s="34"/>
      <c r="D73" s="36" t="s">
        <v>22</v>
      </c>
      <c r="E73" s="155">
        <v>0</v>
      </c>
      <c r="F73" s="155">
        <v>0</v>
      </c>
      <c r="G73" s="155">
        <v>0</v>
      </c>
      <c r="H73" s="155">
        <v>0</v>
      </c>
      <c r="I73" s="155">
        <v>0</v>
      </c>
      <c r="J73" s="155">
        <v>0</v>
      </c>
      <c r="K73" s="155">
        <v>0</v>
      </c>
      <c r="L73" s="155">
        <v>0</v>
      </c>
      <c r="M73" s="155">
        <v>0</v>
      </c>
      <c r="N73" s="155">
        <v>0</v>
      </c>
      <c r="O73" s="155">
        <v>0</v>
      </c>
      <c r="P73" s="155">
        <v>0</v>
      </c>
      <c r="R73" s="155">
        <v>0</v>
      </c>
      <c r="S73" s="155">
        <f t="shared" ref="S73:S87" si="46">G73</f>
        <v>0</v>
      </c>
      <c r="T73" s="155">
        <f t="shared" ref="T73" si="47">H73</f>
        <v>0</v>
      </c>
      <c r="U73" s="155">
        <f>I73</f>
        <v>0</v>
      </c>
      <c r="V73" s="155">
        <f>J73</f>
        <v>0</v>
      </c>
      <c r="W73" s="155">
        <f t="shared" ref="W73" si="48">K73</f>
        <v>0</v>
      </c>
      <c r="X73" s="155">
        <f t="shared" ref="X73" si="49">L73</f>
        <v>0</v>
      </c>
      <c r="Y73" s="155">
        <f t="shared" ref="Y73" si="50">M73</f>
        <v>0</v>
      </c>
      <c r="Z73" s="155">
        <v>0</v>
      </c>
      <c r="AA73" s="155">
        <f t="shared" ref="AA73" si="51">O73</f>
        <v>0</v>
      </c>
      <c r="AB73" s="155">
        <f t="shared" ref="AB73" si="52">Q73</f>
        <v>0</v>
      </c>
      <c r="AC73" s="155">
        <f t="shared" ref="AC73" si="53">R73</f>
        <v>0</v>
      </c>
      <c r="AD73" s="155">
        <f t="shared" ref="AD73" si="54">S73</f>
        <v>0</v>
      </c>
      <c r="AE73" s="155">
        <f t="shared" ref="AE73" si="55">T73</f>
        <v>0</v>
      </c>
      <c r="AF73" s="155">
        <v>0</v>
      </c>
      <c r="AG73" s="155">
        <f t="shared" ref="AG73:AG87" si="56">N73</f>
        <v>0</v>
      </c>
      <c r="AH73" s="155">
        <v>0</v>
      </c>
      <c r="AI73" s="155">
        <f t="shared" ref="AI73:AI87" si="57">O73</f>
        <v>0</v>
      </c>
      <c r="AJ73" s="155">
        <v>0</v>
      </c>
      <c r="AK73" s="155">
        <f t="shared" si="45"/>
        <v>0</v>
      </c>
      <c r="AL73" s="155">
        <v>0</v>
      </c>
      <c r="AN73" s="173"/>
      <c r="AO73" s="173"/>
    </row>
    <row r="74" spans="2:41">
      <c r="B74" s="466"/>
      <c r="C74" s="34"/>
      <c r="D74" s="36" t="s">
        <v>21</v>
      </c>
      <c r="E74" s="155">
        <v>0</v>
      </c>
      <c r="F74" s="155">
        <v>0</v>
      </c>
      <c r="G74" s="155">
        <v>0</v>
      </c>
      <c r="H74" s="155">
        <v>0</v>
      </c>
      <c r="I74" s="155">
        <v>0</v>
      </c>
      <c r="J74" s="155">
        <v>4716</v>
      </c>
      <c r="K74" s="155">
        <v>4152</v>
      </c>
      <c r="L74" s="155">
        <v>3723</v>
      </c>
      <c r="M74" s="173">
        <v>0</v>
      </c>
      <c r="N74" s="155">
        <v>0</v>
      </c>
      <c r="O74" s="155">
        <v>17</v>
      </c>
      <c r="P74" s="155">
        <v>13</v>
      </c>
      <c r="R74" s="155">
        <v>0</v>
      </c>
      <c r="S74" s="155">
        <v>0</v>
      </c>
      <c r="T74" s="155">
        <v>0</v>
      </c>
      <c r="U74" s="155">
        <v>0</v>
      </c>
      <c r="V74" s="155">
        <v>1</v>
      </c>
      <c r="W74" s="155">
        <v>0</v>
      </c>
      <c r="X74" s="155">
        <v>0</v>
      </c>
      <c r="Y74" s="155">
        <f t="shared" ref="Y74:Y87" si="58">J74</f>
        <v>4716</v>
      </c>
      <c r="Z74" s="155">
        <v>4671</v>
      </c>
      <c r="AA74" s="155">
        <f t="shared" ref="AA74:AA87" si="59">K74</f>
        <v>4152</v>
      </c>
      <c r="AB74" s="155">
        <v>3826</v>
      </c>
      <c r="AC74" s="155">
        <f t="shared" ref="AC74:AC87" si="60">L74</f>
        <v>3723</v>
      </c>
      <c r="AD74" s="155">
        <v>3797</v>
      </c>
      <c r="AE74" s="155">
        <f t="shared" ref="AE74:AE87" si="61">M74</f>
        <v>0</v>
      </c>
      <c r="AF74" s="155">
        <v>0</v>
      </c>
      <c r="AG74" s="155">
        <f t="shared" si="56"/>
        <v>0</v>
      </c>
      <c r="AH74" s="155">
        <v>0</v>
      </c>
      <c r="AI74" s="155">
        <f t="shared" si="57"/>
        <v>17</v>
      </c>
      <c r="AJ74" s="155">
        <v>16</v>
      </c>
      <c r="AK74" s="155">
        <f t="shared" si="45"/>
        <v>13</v>
      </c>
      <c r="AL74" s="155">
        <v>11</v>
      </c>
      <c r="AN74" s="173"/>
      <c r="AO74" s="173"/>
    </row>
    <row r="75" spans="2:41">
      <c r="B75" s="466"/>
      <c r="C75" s="34"/>
      <c r="D75" s="36" t="s">
        <v>614</v>
      </c>
      <c r="E75" s="155">
        <v>35098</v>
      </c>
      <c r="F75" s="155">
        <v>37061</v>
      </c>
      <c r="G75" s="155">
        <v>37208</v>
      </c>
      <c r="H75" s="155">
        <v>39474</v>
      </c>
      <c r="I75" s="155">
        <v>38378</v>
      </c>
      <c r="J75" s="155">
        <v>33739</v>
      </c>
      <c r="K75" s="155">
        <v>16656</v>
      </c>
      <c r="L75" s="155">
        <v>115644</v>
      </c>
      <c r="M75" s="155">
        <v>126731</v>
      </c>
      <c r="N75" s="155">
        <v>126713</v>
      </c>
      <c r="O75" s="155">
        <v>126708</v>
      </c>
      <c r="P75" s="155">
        <v>126703</v>
      </c>
      <c r="R75" s="155">
        <v>34783</v>
      </c>
      <c r="S75" s="155">
        <f t="shared" si="46"/>
        <v>37208</v>
      </c>
      <c r="T75" s="155">
        <v>36035</v>
      </c>
      <c r="U75" s="155">
        <f t="shared" ref="U75:U87" si="62">H75</f>
        <v>39474</v>
      </c>
      <c r="V75" s="155">
        <v>37634</v>
      </c>
      <c r="W75" s="155">
        <f t="shared" ref="W75:W87" si="63">I75</f>
        <v>38378</v>
      </c>
      <c r="X75" s="155">
        <v>37513</v>
      </c>
      <c r="Y75" s="155">
        <f t="shared" si="58"/>
        <v>33739</v>
      </c>
      <c r="Z75" s="155">
        <v>33280</v>
      </c>
      <c r="AA75" s="155">
        <f t="shared" si="59"/>
        <v>16656</v>
      </c>
      <c r="AB75" s="155">
        <v>115648</v>
      </c>
      <c r="AC75" s="155">
        <f t="shared" si="60"/>
        <v>115644</v>
      </c>
      <c r="AD75" s="155">
        <v>115630</v>
      </c>
      <c r="AE75" s="155">
        <f t="shared" si="61"/>
        <v>126731</v>
      </c>
      <c r="AF75" s="155">
        <v>126720</v>
      </c>
      <c r="AG75" s="155">
        <f t="shared" si="56"/>
        <v>126713</v>
      </c>
      <c r="AH75" s="155">
        <v>126710</v>
      </c>
      <c r="AI75" s="155">
        <f t="shared" si="57"/>
        <v>126708</v>
      </c>
      <c r="AJ75" s="155">
        <v>126704</v>
      </c>
      <c r="AK75" s="155">
        <f t="shared" si="45"/>
        <v>126703</v>
      </c>
      <c r="AL75" s="155">
        <v>126703</v>
      </c>
      <c r="AN75" s="173"/>
      <c r="AO75" s="173"/>
    </row>
    <row r="76" spans="2:41">
      <c r="B76" s="466"/>
      <c r="C76" s="34"/>
      <c r="D76" s="36" t="s">
        <v>28</v>
      </c>
      <c r="E76" s="155">
        <v>429</v>
      </c>
      <c r="F76" s="155">
        <v>563</v>
      </c>
      <c r="G76" s="155">
        <v>240</v>
      </c>
      <c r="H76" s="155">
        <v>224</v>
      </c>
      <c r="I76" s="155">
        <v>72</v>
      </c>
      <c r="J76" s="155">
        <v>0</v>
      </c>
      <c r="K76" s="155">
        <v>3841</v>
      </c>
      <c r="L76" s="155">
        <v>0</v>
      </c>
      <c r="M76" s="155">
        <v>23</v>
      </c>
      <c r="N76" s="155">
        <v>0</v>
      </c>
      <c r="O76" s="155">
        <v>0</v>
      </c>
      <c r="P76" s="155">
        <v>0</v>
      </c>
      <c r="R76" s="155">
        <v>347</v>
      </c>
      <c r="S76" s="155">
        <f t="shared" si="46"/>
        <v>240</v>
      </c>
      <c r="T76" s="155">
        <v>250</v>
      </c>
      <c r="U76" s="155">
        <f t="shared" si="62"/>
        <v>224</v>
      </c>
      <c r="V76" s="155">
        <v>218</v>
      </c>
      <c r="W76" s="155">
        <f t="shared" si="63"/>
        <v>72</v>
      </c>
      <c r="X76" s="155">
        <v>71</v>
      </c>
      <c r="Y76" s="155">
        <f t="shared" si="58"/>
        <v>0</v>
      </c>
      <c r="Z76" s="155">
        <v>0</v>
      </c>
      <c r="AA76" s="155">
        <f t="shared" si="59"/>
        <v>3841</v>
      </c>
      <c r="AB76" s="155">
        <v>0</v>
      </c>
      <c r="AC76" s="155">
        <f t="shared" si="60"/>
        <v>0</v>
      </c>
      <c r="AD76" s="155">
        <v>0</v>
      </c>
      <c r="AE76" s="155">
        <f t="shared" si="61"/>
        <v>23</v>
      </c>
      <c r="AF76" s="155">
        <v>19</v>
      </c>
      <c r="AG76" s="155">
        <f t="shared" si="56"/>
        <v>0</v>
      </c>
      <c r="AH76" s="155">
        <v>0</v>
      </c>
      <c r="AI76" s="155">
        <f t="shared" si="57"/>
        <v>0</v>
      </c>
      <c r="AJ76" s="155">
        <v>0</v>
      </c>
      <c r="AK76" s="155">
        <f t="shared" si="45"/>
        <v>0</v>
      </c>
      <c r="AL76" s="155">
        <v>0</v>
      </c>
      <c r="AN76" s="173"/>
      <c r="AO76" s="173"/>
    </row>
    <row r="77" spans="2:41">
      <c r="B77" s="466"/>
      <c r="C77" s="34"/>
      <c r="D77" s="36" t="s">
        <v>724</v>
      </c>
      <c r="E77" s="155">
        <v>9538</v>
      </c>
      <c r="F77" s="155">
        <v>10639</v>
      </c>
      <c r="G77" s="155">
        <v>9004</v>
      </c>
      <c r="H77" s="155">
        <v>8775</v>
      </c>
      <c r="I77" s="155">
        <v>7285</v>
      </c>
      <c r="J77" s="155">
        <v>4510</v>
      </c>
      <c r="K77" s="155">
        <v>3841</v>
      </c>
      <c r="L77" s="155">
        <v>3203</v>
      </c>
      <c r="M77" s="155">
        <v>1707</v>
      </c>
      <c r="N77" s="155">
        <v>2313</v>
      </c>
      <c r="O77" s="155">
        <v>3900</v>
      </c>
      <c r="P77" s="155">
        <v>1396</v>
      </c>
      <c r="R77" s="155">
        <v>9541</v>
      </c>
      <c r="S77" s="155">
        <f t="shared" si="46"/>
        <v>9004</v>
      </c>
      <c r="T77" s="155">
        <v>14354</v>
      </c>
      <c r="U77" s="155">
        <f t="shared" si="62"/>
        <v>8775</v>
      </c>
      <c r="V77" s="155">
        <v>7923</v>
      </c>
      <c r="W77" s="155">
        <f t="shared" si="63"/>
        <v>7285</v>
      </c>
      <c r="X77" s="155">
        <v>5316</v>
      </c>
      <c r="Y77" s="155">
        <f t="shared" si="58"/>
        <v>4510</v>
      </c>
      <c r="Z77" s="155">
        <v>4312</v>
      </c>
      <c r="AA77" s="155">
        <f t="shared" si="59"/>
        <v>3841</v>
      </c>
      <c r="AB77" s="155">
        <v>3407</v>
      </c>
      <c r="AC77" s="155">
        <f t="shared" si="60"/>
        <v>3203</v>
      </c>
      <c r="AD77" s="155">
        <v>2062</v>
      </c>
      <c r="AE77" s="155">
        <f t="shared" si="61"/>
        <v>1707</v>
      </c>
      <c r="AF77" s="155">
        <v>1785</v>
      </c>
      <c r="AG77" s="155">
        <f t="shared" si="56"/>
        <v>2313</v>
      </c>
      <c r="AH77" s="155">
        <v>2489</v>
      </c>
      <c r="AI77" s="155">
        <f t="shared" si="57"/>
        <v>3900</v>
      </c>
      <c r="AJ77" s="155">
        <v>5228</v>
      </c>
      <c r="AK77" s="155">
        <f t="shared" si="45"/>
        <v>1396</v>
      </c>
      <c r="AL77" s="155">
        <v>4803</v>
      </c>
      <c r="AN77" s="173"/>
      <c r="AO77" s="173"/>
    </row>
    <row r="78" spans="2:41">
      <c r="B78" s="466"/>
      <c r="C78" s="34"/>
      <c r="D78" s="36" t="s">
        <v>616</v>
      </c>
      <c r="E78" s="155">
        <v>832</v>
      </c>
      <c r="F78" s="155">
        <v>284</v>
      </c>
      <c r="G78" s="155">
        <v>1079</v>
      </c>
      <c r="H78" s="155">
        <v>48</v>
      </c>
      <c r="I78" s="155">
        <v>274</v>
      </c>
      <c r="J78" s="155">
        <v>1434</v>
      </c>
      <c r="K78" s="155">
        <v>1467</v>
      </c>
      <c r="L78" s="155">
        <v>2934</v>
      </c>
      <c r="M78" s="155">
        <v>2923</v>
      </c>
      <c r="N78" s="155">
        <v>4139</v>
      </c>
      <c r="O78" s="155">
        <v>1465</v>
      </c>
      <c r="P78" s="155">
        <v>7106</v>
      </c>
      <c r="R78" s="155">
        <v>389</v>
      </c>
      <c r="S78" s="155">
        <f t="shared" si="46"/>
        <v>1079</v>
      </c>
      <c r="T78" s="155">
        <v>277</v>
      </c>
      <c r="U78" s="155">
        <f t="shared" si="62"/>
        <v>48</v>
      </c>
      <c r="V78" s="155">
        <v>151</v>
      </c>
      <c r="W78" s="155">
        <f t="shared" si="63"/>
        <v>274</v>
      </c>
      <c r="X78" s="155">
        <v>1318</v>
      </c>
      <c r="Y78" s="155">
        <f t="shared" si="58"/>
        <v>1434</v>
      </c>
      <c r="Z78" s="155">
        <v>1304</v>
      </c>
      <c r="AA78" s="155">
        <f t="shared" si="59"/>
        <v>1467</v>
      </c>
      <c r="AB78" s="155">
        <v>1893</v>
      </c>
      <c r="AC78" s="155">
        <f t="shared" si="60"/>
        <v>2934</v>
      </c>
      <c r="AD78" s="155">
        <v>4150</v>
      </c>
      <c r="AE78" s="155">
        <f t="shared" si="61"/>
        <v>2923</v>
      </c>
      <c r="AF78" s="155">
        <v>3389</v>
      </c>
      <c r="AG78" s="155">
        <f t="shared" si="56"/>
        <v>4139</v>
      </c>
      <c r="AH78" s="155">
        <v>2627</v>
      </c>
      <c r="AI78" s="155">
        <f t="shared" si="57"/>
        <v>1465</v>
      </c>
      <c r="AJ78" s="155">
        <v>5177</v>
      </c>
      <c r="AK78" s="155">
        <f t="shared" si="45"/>
        <v>7106</v>
      </c>
      <c r="AL78" s="155">
        <v>3326</v>
      </c>
      <c r="AN78" s="173"/>
      <c r="AO78" s="173"/>
    </row>
    <row r="79" spans="2:41">
      <c r="B79" s="466"/>
      <c r="C79" s="34"/>
      <c r="D79" s="32" t="s">
        <v>617</v>
      </c>
      <c r="E79" s="160">
        <f t="shared" ref="E79:N79" si="64">SUM(E71:E78)</f>
        <v>69277</v>
      </c>
      <c r="F79" s="160">
        <f t="shared" si="64"/>
        <v>73362</v>
      </c>
      <c r="G79" s="160">
        <f t="shared" si="64"/>
        <v>71119</v>
      </c>
      <c r="H79" s="160">
        <f t="shared" si="64"/>
        <v>68909</v>
      </c>
      <c r="I79" s="160">
        <f t="shared" si="64"/>
        <v>61217</v>
      </c>
      <c r="J79" s="160">
        <f t="shared" si="64"/>
        <v>59590</v>
      </c>
      <c r="K79" s="160">
        <f t="shared" si="64"/>
        <v>42248</v>
      </c>
      <c r="L79" s="160">
        <f t="shared" si="64"/>
        <v>134417</v>
      </c>
      <c r="M79" s="160">
        <f>SUM(M71:M78)</f>
        <v>138364</v>
      </c>
      <c r="N79" s="160">
        <f t="shared" si="64"/>
        <v>139290</v>
      </c>
      <c r="O79" s="160">
        <f>SUM(O71:O78)</f>
        <v>140582</v>
      </c>
      <c r="P79" s="160">
        <v>144837</v>
      </c>
      <c r="R79" s="160">
        <v>64647</v>
      </c>
      <c r="S79" s="160">
        <f t="shared" si="46"/>
        <v>71119</v>
      </c>
      <c r="T79" s="160">
        <f t="shared" ref="T79:AJ79" si="65">SUM(T71:T78)</f>
        <v>75014</v>
      </c>
      <c r="U79" s="160">
        <f t="shared" si="62"/>
        <v>68909</v>
      </c>
      <c r="V79" s="160">
        <v>64674</v>
      </c>
      <c r="W79" s="160">
        <f t="shared" si="63"/>
        <v>61217</v>
      </c>
      <c r="X79" s="160">
        <v>58056</v>
      </c>
      <c r="Y79" s="160">
        <f t="shared" si="58"/>
        <v>59590</v>
      </c>
      <c r="Z79" s="160">
        <v>57478</v>
      </c>
      <c r="AA79" s="160">
        <f t="shared" si="59"/>
        <v>42248</v>
      </c>
      <c r="AB79" s="160">
        <f t="shared" si="65"/>
        <v>133909</v>
      </c>
      <c r="AC79" s="160">
        <f t="shared" si="60"/>
        <v>134417</v>
      </c>
      <c r="AD79" s="160">
        <f t="shared" si="65"/>
        <v>133603</v>
      </c>
      <c r="AE79" s="160">
        <f t="shared" si="61"/>
        <v>138364</v>
      </c>
      <c r="AF79" s="160">
        <f t="shared" si="65"/>
        <v>138587</v>
      </c>
      <c r="AG79" s="160">
        <f t="shared" si="56"/>
        <v>139290</v>
      </c>
      <c r="AH79" s="160">
        <f t="shared" si="65"/>
        <v>140561</v>
      </c>
      <c r="AI79" s="160">
        <f t="shared" si="57"/>
        <v>140582</v>
      </c>
      <c r="AJ79" s="160">
        <f t="shared" si="65"/>
        <v>147738</v>
      </c>
      <c r="AK79" s="160">
        <f t="shared" si="45"/>
        <v>144837</v>
      </c>
      <c r="AL79" s="160">
        <v>151711</v>
      </c>
      <c r="AN79" s="173"/>
      <c r="AO79" s="173"/>
    </row>
    <row r="80" spans="2:41">
      <c r="B80" s="466"/>
      <c r="C80" s="34"/>
      <c r="D80" s="36" t="s">
        <v>618</v>
      </c>
      <c r="E80" s="155">
        <v>42463</v>
      </c>
      <c r="F80" s="155">
        <v>47188</v>
      </c>
      <c r="G80" s="155">
        <v>36962</v>
      </c>
      <c r="H80" s="155">
        <v>31905</v>
      </c>
      <c r="I80" s="155">
        <v>30819</v>
      </c>
      <c r="J80" s="155">
        <v>31386</v>
      </c>
      <c r="K80" s="155">
        <v>5723</v>
      </c>
      <c r="L80" s="155">
        <v>4178</v>
      </c>
      <c r="M80" s="155">
        <v>3102</v>
      </c>
      <c r="N80" s="155">
        <v>1307</v>
      </c>
      <c r="O80" s="155">
        <v>1340</v>
      </c>
      <c r="P80" s="155">
        <v>603</v>
      </c>
      <c r="R80" s="155">
        <v>40075</v>
      </c>
      <c r="S80" s="155">
        <f t="shared" si="46"/>
        <v>36962</v>
      </c>
      <c r="T80" s="155">
        <v>37503</v>
      </c>
      <c r="U80" s="155">
        <f t="shared" si="62"/>
        <v>31905</v>
      </c>
      <c r="V80" s="155">
        <v>33511</v>
      </c>
      <c r="W80" s="155">
        <f t="shared" si="63"/>
        <v>30819</v>
      </c>
      <c r="X80" s="155">
        <v>30666</v>
      </c>
      <c r="Y80" s="155">
        <f t="shared" si="58"/>
        <v>31386</v>
      </c>
      <c r="Z80" s="155">
        <v>30412</v>
      </c>
      <c r="AA80" s="155">
        <f t="shared" si="59"/>
        <v>5723</v>
      </c>
      <c r="AB80" s="155">
        <v>4085</v>
      </c>
      <c r="AC80" s="155">
        <f t="shared" si="60"/>
        <v>4178</v>
      </c>
      <c r="AD80" s="155">
        <v>3808</v>
      </c>
      <c r="AE80" s="155">
        <f t="shared" si="61"/>
        <v>3102</v>
      </c>
      <c r="AF80" s="155">
        <v>1559</v>
      </c>
      <c r="AG80" s="155">
        <f t="shared" si="56"/>
        <v>1307</v>
      </c>
      <c r="AH80" s="155">
        <v>1221</v>
      </c>
      <c r="AI80" s="155">
        <f t="shared" si="57"/>
        <v>1340</v>
      </c>
      <c r="AJ80" s="155">
        <v>922</v>
      </c>
      <c r="AK80" s="155">
        <f t="shared" si="45"/>
        <v>603</v>
      </c>
      <c r="AL80" s="155">
        <v>4477</v>
      </c>
      <c r="AN80" s="173"/>
      <c r="AO80" s="173"/>
    </row>
    <row r="81" spans="2:41">
      <c r="B81" s="466"/>
      <c r="C81" s="34"/>
      <c r="D81" s="36" t="s">
        <v>764</v>
      </c>
      <c r="E81" s="216" t="s">
        <v>694</v>
      </c>
      <c r="F81" s="216" t="s">
        <v>694</v>
      </c>
      <c r="G81" s="216" t="s">
        <v>694</v>
      </c>
      <c r="H81" s="216" t="s">
        <v>694</v>
      </c>
      <c r="I81" s="216" t="s">
        <v>694</v>
      </c>
      <c r="J81" s="216" t="s">
        <v>694</v>
      </c>
      <c r="K81" s="216" t="s">
        <v>694</v>
      </c>
      <c r="L81" s="216" t="s">
        <v>694</v>
      </c>
      <c r="M81" s="216" t="s">
        <v>694</v>
      </c>
      <c r="N81" s="216" t="s">
        <v>694</v>
      </c>
      <c r="O81" s="216" t="s">
        <v>694</v>
      </c>
      <c r="P81" s="155">
        <v>2206</v>
      </c>
      <c r="R81" s="216" t="s">
        <v>694</v>
      </c>
      <c r="S81" s="216" t="s">
        <v>694</v>
      </c>
      <c r="T81" s="216" t="s">
        <v>694</v>
      </c>
      <c r="U81" s="216" t="s">
        <v>694</v>
      </c>
      <c r="V81" s="216" t="s">
        <v>694</v>
      </c>
      <c r="W81" s="216" t="s">
        <v>694</v>
      </c>
      <c r="X81" s="216" t="s">
        <v>694</v>
      </c>
      <c r="Y81" s="216" t="s">
        <v>694</v>
      </c>
      <c r="Z81" s="216" t="s">
        <v>694</v>
      </c>
      <c r="AA81" s="216" t="s">
        <v>694</v>
      </c>
      <c r="AB81" s="216" t="s">
        <v>694</v>
      </c>
      <c r="AC81" s="216" t="s">
        <v>694</v>
      </c>
      <c r="AD81" s="216" t="s">
        <v>694</v>
      </c>
      <c r="AE81" s="216" t="s">
        <v>694</v>
      </c>
      <c r="AF81" s="216" t="s">
        <v>694</v>
      </c>
      <c r="AG81" s="216" t="s">
        <v>694</v>
      </c>
      <c r="AH81" s="216" t="s">
        <v>694</v>
      </c>
      <c r="AI81" s="216" t="s">
        <v>694</v>
      </c>
      <c r="AJ81" s="216" t="s">
        <v>694</v>
      </c>
      <c r="AK81" s="155">
        <f t="shared" si="45"/>
        <v>2206</v>
      </c>
      <c r="AL81" s="155">
        <v>2794</v>
      </c>
      <c r="AN81" s="173"/>
      <c r="AO81" s="173"/>
    </row>
    <row r="82" spans="2:41">
      <c r="B82" s="466"/>
      <c r="C82" s="34"/>
      <c r="D82" s="36" t="s">
        <v>619</v>
      </c>
      <c r="E82" s="155">
        <v>-3067</v>
      </c>
      <c r="F82" s="155">
        <v>-1098</v>
      </c>
      <c r="G82" s="155">
        <v>-308</v>
      </c>
      <c r="H82" s="155">
        <v>2096</v>
      </c>
      <c r="I82" s="155">
        <v>2373</v>
      </c>
      <c r="J82" s="155">
        <v>2463</v>
      </c>
      <c r="K82" s="155">
        <v>296</v>
      </c>
      <c r="L82" s="155">
        <v>327</v>
      </c>
      <c r="M82" s="155">
        <v>125</v>
      </c>
      <c r="N82" s="155">
        <v>84</v>
      </c>
      <c r="O82" s="155">
        <v>217</v>
      </c>
      <c r="P82" s="155">
        <v>121</v>
      </c>
      <c r="R82" s="155">
        <v>-666</v>
      </c>
      <c r="S82" s="155">
        <f t="shared" si="46"/>
        <v>-308</v>
      </c>
      <c r="T82" s="155">
        <v>-298</v>
      </c>
      <c r="U82" s="155">
        <f t="shared" si="62"/>
        <v>2096</v>
      </c>
      <c r="V82" s="155">
        <v>2107</v>
      </c>
      <c r="W82" s="155">
        <f t="shared" si="63"/>
        <v>2373</v>
      </c>
      <c r="X82" s="155">
        <v>2375</v>
      </c>
      <c r="Y82" s="155">
        <f t="shared" si="58"/>
        <v>2463</v>
      </c>
      <c r="Z82" s="155">
        <v>2444</v>
      </c>
      <c r="AA82" s="155">
        <f t="shared" si="59"/>
        <v>296</v>
      </c>
      <c r="AB82" s="155">
        <v>233</v>
      </c>
      <c r="AC82" s="155">
        <f t="shared" si="60"/>
        <v>327</v>
      </c>
      <c r="AD82" s="155">
        <v>400</v>
      </c>
      <c r="AE82" s="155">
        <f t="shared" si="61"/>
        <v>125</v>
      </c>
      <c r="AF82" s="155">
        <v>98</v>
      </c>
      <c r="AG82" s="155">
        <f t="shared" si="56"/>
        <v>84</v>
      </c>
      <c r="AH82" s="155">
        <v>174</v>
      </c>
      <c r="AI82" s="155">
        <f t="shared" si="57"/>
        <v>217</v>
      </c>
      <c r="AJ82" s="155">
        <f>2413+246</f>
        <v>2659</v>
      </c>
      <c r="AK82" s="155">
        <f t="shared" si="45"/>
        <v>121</v>
      </c>
      <c r="AL82" s="155">
        <v>1302</v>
      </c>
      <c r="AN82" s="173"/>
      <c r="AO82" s="173"/>
    </row>
    <row r="83" spans="2:41">
      <c r="B83" s="466"/>
      <c r="C83" s="34"/>
      <c r="D83" s="36" t="s">
        <v>44</v>
      </c>
      <c r="E83" s="155">
        <v>15898</v>
      </c>
      <c r="F83" s="155">
        <v>10530</v>
      </c>
      <c r="G83" s="155">
        <v>11204</v>
      </c>
      <c r="H83" s="155">
        <v>7260</v>
      </c>
      <c r="I83" s="155">
        <v>3124</v>
      </c>
      <c r="J83" s="155">
        <v>3079</v>
      </c>
      <c r="K83" s="155">
        <v>2831</v>
      </c>
      <c r="L83" s="155">
        <v>2436</v>
      </c>
      <c r="M83" s="155">
        <v>1246</v>
      </c>
      <c r="N83" s="155">
        <v>1883</v>
      </c>
      <c r="O83" s="155">
        <v>2669</v>
      </c>
      <c r="P83" s="155">
        <v>1738</v>
      </c>
      <c r="R83" s="155">
        <v>10519</v>
      </c>
      <c r="S83" s="155">
        <f t="shared" si="46"/>
        <v>11204</v>
      </c>
      <c r="T83" s="155">
        <v>13877</v>
      </c>
      <c r="U83" s="155">
        <f t="shared" si="62"/>
        <v>7260</v>
      </c>
      <c r="V83" s="155">
        <v>3491</v>
      </c>
      <c r="W83" s="155">
        <f t="shared" si="63"/>
        <v>3124</v>
      </c>
      <c r="X83" s="155">
        <v>2772</v>
      </c>
      <c r="Y83" s="155">
        <f t="shared" si="58"/>
        <v>3079</v>
      </c>
      <c r="Z83" s="155">
        <v>2861</v>
      </c>
      <c r="AA83" s="155">
        <f t="shared" si="59"/>
        <v>2831</v>
      </c>
      <c r="AB83" s="155">
        <v>2505</v>
      </c>
      <c r="AC83" s="155">
        <f t="shared" si="60"/>
        <v>2436</v>
      </c>
      <c r="AD83" s="155">
        <v>1936</v>
      </c>
      <c r="AE83" s="155">
        <f t="shared" si="61"/>
        <v>1246</v>
      </c>
      <c r="AF83" s="155">
        <v>1333</v>
      </c>
      <c r="AG83" s="155">
        <f t="shared" si="56"/>
        <v>1883</v>
      </c>
      <c r="AH83" s="155">
        <v>3707</v>
      </c>
      <c r="AI83" s="155">
        <f t="shared" si="57"/>
        <v>2669</v>
      </c>
      <c r="AJ83" s="155">
        <v>3620</v>
      </c>
      <c r="AK83" s="155">
        <f t="shared" si="45"/>
        <v>1738</v>
      </c>
      <c r="AL83" s="155">
        <v>2378</v>
      </c>
      <c r="AN83" s="173"/>
      <c r="AO83" s="173"/>
    </row>
    <row r="84" spans="2:41">
      <c r="B84" s="466"/>
      <c r="C84" s="34"/>
      <c r="D84" s="36" t="s">
        <v>620</v>
      </c>
      <c r="E84" s="155">
        <v>5429</v>
      </c>
      <c r="F84" s="155">
        <v>6173</v>
      </c>
      <c r="G84" s="155">
        <v>11199</v>
      </c>
      <c r="H84" s="155">
        <v>5253</v>
      </c>
      <c r="I84" s="155">
        <v>3620</v>
      </c>
      <c r="J84" s="155">
        <v>2612</v>
      </c>
      <c r="K84" s="155">
        <v>1985</v>
      </c>
      <c r="L84" s="155">
        <v>1751</v>
      </c>
      <c r="M84" s="155">
        <v>968</v>
      </c>
      <c r="N84" s="155">
        <v>756</v>
      </c>
      <c r="O84" s="155">
        <v>818</v>
      </c>
      <c r="P84" s="155">
        <v>712</v>
      </c>
      <c r="R84" s="155">
        <v>3842</v>
      </c>
      <c r="S84" s="155">
        <f t="shared" si="46"/>
        <v>11199</v>
      </c>
      <c r="T84" s="155">
        <v>10671</v>
      </c>
      <c r="U84" s="155">
        <f t="shared" si="62"/>
        <v>5253</v>
      </c>
      <c r="V84" s="155">
        <v>4472</v>
      </c>
      <c r="W84" s="155">
        <f t="shared" si="63"/>
        <v>3620</v>
      </c>
      <c r="X84" s="155">
        <v>1976</v>
      </c>
      <c r="Y84" s="155">
        <f t="shared" si="58"/>
        <v>2612</v>
      </c>
      <c r="Z84" s="155">
        <v>2478</v>
      </c>
      <c r="AA84" s="155">
        <f t="shared" si="59"/>
        <v>1985</v>
      </c>
      <c r="AB84" s="155">
        <v>1687</v>
      </c>
      <c r="AC84" s="155">
        <f t="shared" si="60"/>
        <v>1751</v>
      </c>
      <c r="AD84" s="155">
        <v>1197</v>
      </c>
      <c r="AE84" s="155">
        <f t="shared" si="61"/>
        <v>968</v>
      </c>
      <c r="AF84" s="155">
        <v>936</v>
      </c>
      <c r="AG84" s="155">
        <f t="shared" si="56"/>
        <v>756</v>
      </c>
      <c r="AH84" s="155">
        <v>692</v>
      </c>
      <c r="AI84" s="155">
        <f t="shared" si="57"/>
        <v>818</v>
      </c>
      <c r="AJ84" s="155">
        <v>815</v>
      </c>
      <c r="AK84" s="155">
        <f t="shared" si="45"/>
        <v>712</v>
      </c>
      <c r="AL84" s="155">
        <v>2225</v>
      </c>
      <c r="AN84" s="173"/>
      <c r="AO84" s="173"/>
    </row>
    <row r="85" spans="2:41">
      <c r="B85" s="466"/>
      <c r="C85" s="34"/>
      <c r="D85" s="36" t="s">
        <v>765</v>
      </c>
      <c r="E85" s="216" t="s">
        <v>694</v>
      </c>
      <c r="F85" s="216" t="s">
        <v>694</v>
      </c>
      <c r="G85" s="216" t="s">
        <v>694</v>
      </c>
      <c r="H85" s="216" t="s">
        <v>694</v>
      </c>
      <c r="I85" s="216" t="s">
        <v>694</v>
      </c>
      <c r="J85" s="216" t="s">
        <v>694</v>
      </c>
      <c r="K85" s="216" t="s">
        <v>694</v>
      </c>
      <c r="L85" s="216" t="s">
        <v>694</v>
      </c>
      <c r="M85" s="216" t="s">
        <v>694</v>
      </c>
      <c r="N85" s="216" t="s">
        <v>694</v>
      </c>
      <c r="O85" s="216" t="s">
        <v>694</v>
      </c>
      <c r="P85" s="155">
        <v>346</v>
      </c>
      <c r="R85" s="216" t="s">
        <v>694</v>
      </c>
      <c r="S85" s="216" t="s">
        <v>694</v>
      </c>
      <c r="T85" s="216" t="s">
        <v>694</v>
      </c>
      <c r="U85" s="216" t="s">
        <v>694</v>
      </c>
      <c r="V85" s="216" t="s">
        <v>694</v>
      </c>
      <c r="W85" s="216" t="s">
        <v>694</v>
      </c>
      <c r="X85" s="216" t="s">
        <v>694</v>
      </c>
      <c r="Y85" s="216" t="s">
        <v>694</v>
      </c>
      <c r="Z85" s="216" t="s">
        <v>694</v>
      </c>
      <c r="AA85" s="216" t="s">
        <v>694</v>
      </c>
      <c r="AB85" s="216" t="s">
        <v>694</v>
      </c>
      <c r="AC85" s="216" t="s">
        <v>694</v>
      </c>
      <c r="AD85" s="216" t="s">
        <v>694</v>
      </c>
      <c r="AE85" s="216" t="s">
        <v>694</v>
      </c>
      <c r="AF85" s="216" t="s">
        <v>694</v>
      </c>
      <c r="AG85" s="216" t="s">
        <v>694</v>
      </c>
      <c r="AH85" s="216" t="s">
        <v>694</v>
      </c>
      <c r="AI85" s="216" t="s">
        <v>694</v>
      </c>
      <c r="AJ85" s="216" t="s">
        <v>694</v>
      </c>
      <c r="AK85" s="155">
        <f t="shared" si="45"/>
        <v>346</v>
      </c>
      <c r="AL85" s="155">
        <v>521</v>
      </c>
      <c r="AN85" s="173"/>
      <c r="AO85" s="173"/>
    </row>
    <row r="86" spans="2:41">
      <c r="B86" s="466"/>
      <c r="C86" s="34"/>
      <c r="D86" s="36" t="s">
        <v>621</v>
      </c>
      <c r="E86" s="155">
        <v>2285</v>
      </c>
      <c r="F86" s="155">
        <v>0</v>
      </c>
      <c r="G86" s="155">
        <v>0</v>
      </c>
      <c r="H86" s="155">
        <v>0</v>
      </c>
      <c r="I86" s="155">
        <v>1</v>
      </c>
      <c r="J86" s="155">
        <v>1</v>
      </c>
      <c r="K86" s="155">
        <v>1</v>
      </c>
      <c r="L86" s="155">
        <v>98</v>
      </c>
      <c r="M86" s="155">
        <v>2</v>
      </c>
      <c r="N86" s="155">
        <v>55</v>
      </c>
      <c r="O86" s="155">
        <v>217</v>
      </c>
      <c r="P86" s="155">
        <v>656</v>
      </c>
      <c r="R86" s="155">
        <v>0</v>
      </c>
      <c r="S86" s="155">
        <f t="shared" si="46"/>
        <v>0</v>
      </c>
      <c r="T86" s="155"/>
      <c r="U86" s="155">
        <f t="shared" si="62"/>
        <v>0</v>
      </c>
      <c r="V86" s="155">
        <v>1</v>
      </c>
      <c r="W86" s="155">
        <f t="shared" si="63"/>
        <v>1</v>
      </c>
      <c r="X86" s="155">
        <v>2</v>
      </c>
      <c r="Y86" s="155">
        <f t="shared" si="58"/>
        <v>1</v>
      </c>
      <c r="Z86" s="155">
        <v>0</v>
      </c>
      <c r="AA86" s="155">
        <f t="shared" si="59"/>
        <v>1</v>
      </c>
      <c r="AB86" s="155">
        <v>0</v>
      </c>
      <c r="AC86" s="155">
        <f t="shared" si="60"/>
        <v>98</v>
      </c>
      <c r="AD86" s="155">
        <v>0</v>
      </c>
      <c r="AE86" s="155">
        <f t="shared" si="61"/>
        <v>2</v>
      </c>
      <c r="AF86" s="155">
        <v>0</v>
      </c>
      <c r="AG86" s="155">
        <f t="shared" si="56"/>
        <v>55</v>
      </c>
      <c r="AH86" s="155">
        <v>1</v>
      </c>
      <c r="AI86" s="155">
        <f t="shared" si="57"/>
        <v>217</v>
      </c>
      <c r="AJ86" s="155">
        <f>345+798</f>
        <v>1143</v>
      </c>
      <c r="AK86" s="155">
        <f t="shared" si="45"/>
        <v>656</v>
      </c>
      <c r="AL86" s="155">
        <v>0</v>
      </c>
      <c r="AN86" s="173"/>
      <c r="AO86" s="173"/>
    </row>
    <row r="87" spans="2:41">
      <c r="B87" s="466"/>
      <c r="C87" s="34"/>
      <c r="D87" s="32" t="s">
        <v>622</v>
      </c>
      <c r="E87" s="160">
        <f t="shared" ref="E87:J87" si="66">SUM(E80:E86)</f>
        <v>63008</v>
      </c>
      <c r="F87" s="160">
        <f t="shared" si="66"/>
        <v>62793</v>
      </c>
      <c r="G87" s="160">
        <f t="shared" si="66"/>
        <v>59057</v>
      </c>
      <c r="H87" s="160">
        <f t="shared" si="66"/>
        <v>46514</v>
      </c>
      <c r="I87" s="160">
        <f t="shared" si="66"/>
        <v>39937</v>
      </c>
      <c r="J87" s="160">
        <f t="shared" si="66"/>
        <v>39541</v>
      </c>
      <c r="K87" s="160">
        <f>SUM(K80:K86)</f>
        <v>10836</v>
      </c>
      <c r="L87" s="160">
        <f t="shared" ref="L87:N87" si="67">SUM(L80:L86)</f>
        <v>8790</v>
      </c>
      <c r="M87" s="160">
        <f t="shared" si="67"/>
        <v>5443</v>
      </c>
      <c r="N87" s="160">
        <f t="shared" si="67"/>
        <v>4085</v>
      </c>
      <c r="O87" s="160">
        <f>SUM(O80:O86)</f>
        <v>5261</v>
      </c>
      <c r="P87" s="160">
        <v>6382</v>
      </c>
      <c r="R87" s="160">
        <v>53770</v>
      </c>
      <c r="S87" s="160">
        <f t="shared" si="46"/>
        <v>59057</v>
      </c>
      <c r="T87" s="160">
        <f t="shared" ref="T87" si="68">SUM(T80:T86)</f>
        <v>61753</v>
      </c>
      <c r="U87" s="160">
        <f t="shared" si="62"/>
        <v>46514</v>
      </c>
      <c r="V87" s="160">
        <v>43582</v>
      </c>
      <c r="W87" s="160">
        <f t="shared" si="63"/>
        <v>39937</v>
      </c>
      <c r="X87" s="160">
        <v>37791</v>
      </c>
      <c r="Y87" s="160">
        <f t="shared" si="58"/>
        <v>39541</v>
      </c>
      <c r="Z87" s="160">
        <v>38195</v>
      </c>
      <c r="AA87" s="160">
        <f t="shared" si="59"/>
        <v>10836</v>
      </c>
      <c r="AB87" s="160">
        <f t="shared" ref="AB87" si="69">SUM(AB80:AB86)</f>
        <v>8510</v>
      </c>
      <c r="AC87" s="160">
        <f t="shared" si="60"/>
        <v>8790</v>
      </c>
      <c r="AD87" s="160">
        <f t="shared" ref="AD87" si="70">SUM(AD80:AD86)</f>
        <v>7341</v>
      </c>
      <c r="AE87" s="160">
        <f t="shared" si="61"/>
        <v>5443</v>
      </c>
      <c r="AF87" s="160">
        <f t="shared" ref="AF87" si="71">SUM(AF80:AF86)</f>
        <v>3926</v>
      </c>
      <c r="AG87" s="160">
        <f t="shared" si="56"/>
        <v>4085</v>
      </c>
      <c r="AH87" s="160">
        <f t="shared" ref="AH87" si="72">SUM(AH80:AH86)</f>
        <v>5795</v>
      </c>
      <c r="AI87" s="160">
        <f t="shared" si="57"/>
        <v>5261</v>
      </c>
      <c r="AJ87" s="160">
        <f t="shared" ref="AJ87" si="73">SUM(AJ80:AJ86)</f>
        <v>9159</v>
      </c>
      <c r="AK87" s="160">
        <f t="shared" si="45"/>
        <v>6382</v>
      </c>
      <c r="AL87" s="160">
        <v>13697</v>
      </c>
      <c r="AN87" s="173"/>
      <c r="AO87" s="173"/>
    </row>
    <row r="88" spans="2:41">
      <c r="B88" s="466"/>
      <c r="C88" s="34"/>
      <c r="D88" s="32" t="s">
        <v>15</v>
      </c>
      <c r="E88" s="160">
        <v>0</v>
      </c>
      <c r="F88" s="160">
        <v>0</v>
      </c>
      <c r="G88" s="160">
        <v>0</v>
      </c>
      <c r="H88" s="160">
        <v>0</v>
      </c>
      <c r="I88" s="160">
        <v>0</v>
      </c>
      <c r="J88" s="160">
        <v>0</v>
      </c>
      <c r="K88" s="160">
        <v>0</v>
      </c>
      <c r="L88" s="160">
        <v>0</v>
      </c>
      <c r="M88" s="160">
        <v>0</v>
      </c>
      <c r="N88" s="160">
        <v>0</v>
      </c>
      <c r="O88" s="160">
        <v>0</v>
      </c>
      <c r="P88" s="160">
        <v>0</v>
      </c>
      <c r="R88" s="160">
        <v>0</v>
      </c>
      <c r="S88" s="160">
        <v>0</v>
      </c>
      <c r="T88" s="160">
        <v>0</v>
      </c>
      <c r="U88" s="160">
        <v>0</v>
      </c>
      <c r="V88" s="160">
        <v>0</v>
      </c>
      <c r="W88" s="160">
        <v>0</v>
      </c>
      <c r="X88" s="160">
        <v>0</v>
      </c>
      <c r="Y88" s="160">
        <v>0</v>
      </c>
      <c r="Z88" s="160">
        <v>0</v>
      </c>
      <c r="AA88" s="160">
        <v>0</v>
      </c>
      <c r="AB88" s="160">
        <v>0</v>
      </c>
      <c r="AC88" s="160">
        <v>0</v>
      </c>
      <c r="AD88" s="160">
        <v>0</v>
      </c>
      <c r="AE88" s="160">
        <v>0</v>
      </c>
      <c r="AF88" s="160">
        <v>0</v>
      </c>
      <c r="AG88" s="160">
        <v>0</v>
      </c>
      <c r="AH88" s="160">
        <v>0</v>
      </c>
      <c r="AI88" s="160">
        <v>0</v>
      </c>
      <c r="AJ88" s="160">
        <v>0</v>
      </c>
      <c r="AK88" s="160">
        <f t="shared" si="45"/>
        <v>0</v>
      </c>
      <c r="AL88" s="160">
        <v>0</v>
      </c>
      <c r="AN88" s="173"/>
      <c r="AO88" s="173"/>
    </row>
    <row r="89" spans="2:41">
      <c r="D89" s="9"/>
      <c r="E89" s="164"/>
      <c r="F89" s="164"/>
      <c r="G89" s="164"/>
      <c r="H89" s="164"/>
      <c r="I89" s="164"/>
      <c r="J89" s="164"/>
      <c r="K89" s="164"/>
      <c r="L89" s="164"/>
      <c r="M89" s="164"/>
      <c r="N89" s="164"/>
      <c r="O89" s="164"/>
      <c r="P89" s="164"/>
      <c r="R89" s="164"/>
      <c r="S89" s="164"/>
      <c r="T89" s="164"/>
      <c r="U89" s="164"/>
      <c r="V89" s="164"/>
      <c r="W89" s="164"/>
      <c r="X89" s="164"/>
      <c r="Y89" s="164"/>
      <c r="Z89" s="164"/>
      <c r="AA89" s="164"/>
      <c r="AB89" s="164"/>
      <c r="AC89" s="164"/>
      <c r="AD89" s="164"/>
      <c r="AE89" s="164"/>
      <c r="AF89" s="164"/>
      <c r="AG89" s="164"/>
      <c r="AH89" s="164"/>
      <c r="AI89" s="164"/>
      <c r="AJ89" s="164"/>
      <c r="AK89" s="164"/>
      <c r="AL89" s="164"/>
      <c r="AN89" s="173"/>
      <c r="AO89" s="173"/>
    </row>
    <row r="90" spans="2:41">
      <c r="D90" s="9"/>
      <c r="E90" s="164"/>
      <c r="F90" s="164"/>
      <c r="G90" s="164"/>
      <c r="H90" s="164"/>
      <c r="I90" s="164"/>
      <c r="J90" s="164"/>
      <c r="K90" s="164"/>
      <c r="L90" s="164"/>
      <c r="M90" s="164"/>
      <c r="N90" s="164"/>
      <c r="O90" s="164"/>
      <c r="R90" s="164"/>
      <c r="S90" s="164"/>
      <c r="T90" s="164"/>
      <c r="U90" s="164"/>
      <c r="V90" s="164"/>
      <c r="W90" s="164"/>
      <c r="X90" s="164"/>
      <c r="Y90" s="164"/>
      <c r="Z90" s="164"/>
      <c r="AA90" s="164"/>
      <c r="AB90" s="164"/>
      <c r="AC90" s="164"/>
      <c r="AD90" s="164"/>
      <c r="AE90" s="164"/>
      <c r="AF90" s="164"/>
      <c r="AG90" s="164"/>
      <c r="AH90" s="164"/>
      <c r="AI90" s="164"/>
      <c r="AJ90" s="164"/>
      <c r="AK90" s="164"/>
      <c r="AL90" s="164"/>
      <c r="AN90" s="173"/>
      <c r="AO90" s="173"/>
    </row>
    <row r="91" spans="2:41">
      <c r="D91" s="120" t="s">
        <v>625</v>
      </c>
      <c r="E91" s="160"/>
      <c r="F91" s="160"/>
      <c r="G91" s="160"/>
      <c r="H91" s="160"/>
      <c r="I91" s="160"/>
      <c r="J91" s="160"/>
      <c r="K91" s="160"/>
      <c r="L91" s="160"/>
      <c r="M91" s="160"/>
      <c r="N91" s="160"/>
      <c r="O91" s="160"/>
      <c r="P91" s="160"/>
      <c r="R91" s="160"/>
      <c r="S91" s="160">
        <f t="shared" ref="S91:S141" si="74">G91-R91</f>
        <v>0</v>
      </c>
      <c r="T91" s="160"/>
      <c r="U91" s="160"/>
      <c r="V91" s="160"/>
      <c r="W91" s="160"/>
      <c r="X91" s="160"/>
      <c r="Y91" s="160"/>
      <c r="Z91" s="160"/>
      <c r="AA91" s="160"/>
      <c r="AB91" s="160"/>
      <c r="AC91" s="160"/>
      <c r="AD91" s="160"/>
      <c r="AE91" s="160"/>
      <c r="AF91" s="160"/>
      <c r="AG91" s="160"/>
      <c r="AH91" s="160"/>
      <c r="AI91" s="160"/>
      <c r="AJ91" s="160"/>
      <c r="AK91" s="160"/>
      <c r="AL91" s="160"/>
      <c r="AN91" s="173"/>
      <c r="AO91" s="173"/>
    </row>
    <row r="92" spans="2:41" ht="12" customHeight="1">
      <c r="B92" s="462" t="s">
        <v>625</v>
      </c>
      <c r="C92" s="34"/>
      <c r="D92" s="35" t="s">
        <v>602</v>
      </c>
      <c r="E92" s="157">
        <v>162587</v>
      </c>
      <c r="F92" s="157">
        <v>222694</v>
      </c>
      <c r="G92" s="157">
        <v>265487</v>
      </c>
      <c r="H92" s="157">
        <f>285916</f>
        <v>285916</v>
      </c>
      <c r="I92" s="157">
        <v>233212</v>
      </c>
      <c r="J92" s="157">
        <v>202402</v>
      </c>
      <c r="K92" s="157">
        <v>116522</v>
      </c>
      <c r="L92" s="157">
        <v>86285</v>
      </c>
      <c r="M92" s="157">
        <v>58970</v>
      </c>
      <c r="N92" s="157">
        <v>51348</v>
      </c>
      <c r="O92" s="157">
        <v>30939</v>
      </c>
      <c r="P92" s="170" t="s">
        <v>694</v>
      </c>
      <c r="R92" s="157">
        <v>128209</v>
      </c>
      <c r="S92" s="157">
        <f t="shared" si="74"/>
        <v>137278</v>
      </c>
      <c r="T92" s="157">
        <v>154626</v>
      </c>
      <c r="U92" s="157">
        <f>H92-T92</f>
        <v>131290</v>
      </c>
      <c r="V92" s="157">
        <v>133403</v>
      </c>
      <c r="W92" s="157">
        <f>I92-V92</f>
        <v>99809</v>
      </c>
      <c r="X92" s="157">
        <v>113684</v>
      </c>
      <c r="Y92" s="157">
        <f>J92-X92</f>
        <v>88718</v>
      </c>
      <c r="Z92" s="157">
        <v>67693</v>
      </c>
      <c r="AA92" s="157">
        <f>K92-Z92</f>
        <v>48829</v>
      </c>
      <c r="AB92" s="157">
        <v>50993</v>
      </c>
      <c r="AC92" s="157">
        <f>L92-AB92</f>
        <v>35292</v>
      </c>
      <c r="AD92" s="157">
        <v>38085</v>
      </c>
      <c r="AE92" s="157">
        <f>M92-AD92</f>
        <v>20885</v>
      </c>
      <c r="AF92" s="157">
        <v>28534</v>
      </c>
      <c r="AG92" s="157">
        <v>22814</v>
      </c>
      <c r="AH92" s="157">
        <v>17444</v>
      </c>
      <c r="AI92" s="157">
        <v>13495</v>
      </c>
      <c r="AJ92" s="389" t="s">
        <v>694</v>
      </c>
      <c r="AK92" s="389" t="s">
        <v>694</v>
      </c>
      <c r="AL92" s="389" t="s">
        <v>694</v>
      </c>
      <c r="AN92" s="173"/>
      <c r="AO92" s="173"/>
    </row>
    <row r="93" spans="2:41">
      <c r="B93" s="462"/>
      <c r="C93" s="34"/>
      <c r="D93" s="63" t="s">
        <v>603</v>
      </c>
      <c r="E93" s="156">
        <v>0</v>
      </c>
      <c r="F93" s="156">
        <v>0</v>
      </c>
      <c r="G93" s="156">
        <v>0</v>
      </c>
      <c r="H93" s="156">
        <v>0</v>
      </c>
      <c r="I93" s="156">
        <v>0</v>
      </c>
      <c r="J93" s="156">
        <v>0</v>
      </c>
      <c r="K93" s="156">
        <v>0</v>
      </c>
      <c r="L93" s="156">
        <v>0</v>
      </c>
      <c r="M93" s="156">
        <v>0</v>
      </c>
      <c r="N93" s="156">
        <v>0</v>
      </c>
      <c r="O93" s="156">
        <v>0</v>
      </c>
      <c r="P93" s="366" t="s">
        <v>694</v>
      </c>
      <c r="R93" s="156">
        <v>0</v>
      </c>
      <c r="S93" s="156">
        <f t="shared" si="74"/>
        <v>0</v>
      </c>
      <c r="T93" s="156">
        <v>0</v>
      </c>
      <c r="U93" s="156">
        <v>0</v>
      </c>
      <c r="V93" s="156">
        <v>0</v>
      </c>
      <c r="W93" s="156">
        <v>0</v>
      </c>
      <c r="X93" s="156">
        <v>0</v>
      </c>
      <c r="Y93" s="156">
        <v>0</v>
      </c>
      <c r="Z93" s="156">
        <v>0</v>
      </c>
      <c r="AA93" s="156">
        <v>0</v>
      </c>
      <c r="AB93" s="156">
        <v>0</v>
      </c>
      <c r="AC93" s="156">
        <v>0</v>
      </c>
      <c r="AD93" s="156">
        <v>0</v>
      </c>
      <c r="AE93" s="156">
        <v>0</v>
      </c>
      <c r="AF93" s="156">
        <v>0</v>
      </c>
      <c r="AG93" s="156">
        <v>0</v>
      </c>
      <c r="AH93" s="156">
        <v>0</v>
      </c>
      <c r="AI93" s="156">
        <v>0</v>
      </c>
      <c r="AJ93" s="445" t="s">
        <v>694</v>
      </c>
      <c r="AK93" s="445" t="s">
        <v>694</v>
      </c>
      <c r="AL93" s="445" t="s">
        <v>694</v>
      </c>
      <c r="AN93" s="173"/>
      <c r="AO93" s="173"/>
    </row>
    <row r="94" spans="2:41">
      <c r="B94" s="462"/>
      <c r="C94" s="34"/>
      <c r="D94" s="35" t="s">
        <v>604</v>
      </c>
      <c r="E94" s="157">
        <f t="shared" ref="E94:N94" si="75">E92+E93</f>
        <v>162587</v>
      </c>
      <c r="F94" s="157">
        <f t="shared" si="75"/>
        <v>222694</v>
      </c>
      <c r="G94" s="157">
        <f t="shared" si="75"/>
        <v>265487</v>
      </c>
      <c r="H94" s="157">
        <f t="shared" si="75"/>
        <v>285916</v>
      </c>
      <c r="I94" s="157">
        <f t="shared" si="75"/>
        <v>233212</v>
      </c>
      <c r="J94" s="157">
        <f t="shared" si="75"/>
        <v>202402</v>
      </c>
      <c r="K94" s="157">
        <f t="shared" si="75"/>
        <v>116522</v>
      </c>
      <c r="L94" s="157">
        <f t="shared" si="75"/>
        <v>86285</v>
      </c>
      <c r="M94" s="157">
        <f t="shared" si="75"/>
        <v>58970</v>
      </c>
      <c r="N94" s="157">
        <f t="shared" si="75"/>
        <v>51348</v>
      </c>
      <c r="O94" s="157">
        <f>O92+O93</f>
        <v>30939</v>
      </c>
      <c r="P94" s="170" t="s">
        <v>694</v>
      </c>
      <c r="R94" s="157">
        <f t="shared" ref="R94:AI94" si="76">R92+R93</f>
        <v>128209</v>
      </c>
      <c r="S94" s="157">
        <f t="shared" si="74"/>
        <v>137278</v>
      </c>
      <c r="T94" s="157">
        <f t="shared" si="76"/>
        <v>154626</v>
      </c>
      <c r="U94" s="157">
        <f t="shared" si="76"/>
        <v>131290</v>
      </c>
      <c r="V94" s="157">
        <f t="shared" si="76"/>
        <v>133403</v>
      </c>
      <c r="W94" s="157">
        <f t="shared" si="76"/>
        <v>99809</v>
      </c>
      <c r="X94" s="157">
        <f t="shared" si="76"/>
        <v>113684</v>
      </c>
      <c r="Y94" s="157">
        <f t="shared" si="76"/>
        <v>88718</v>
      </c>
      <c r="Z94" s="157">
        <f t="shared" si="76"/>
        <v>67693</v>
      </c>
      <c r="AA94" s="157">
        <f t="shared" si="76"/>
        <v>48829</v>
      </c>
      <c r="AB94" s="157">
        <f t="shared" si="76"/>
        <v>50993</v>
      </c>
      <c r="AC94" s="157">
        <f t="shared" si="76"/>
        <v>35292</v>
      </c>
      <c r="AD94" s="157">
        <v>38085</v>
      </c>
      <c r="AE94" s="157">
        <f t="shared" si="76"/>
        <v>20885</v>
      </c>
      <c r="AF94" s="157">
        <f t="shared" si="76"/>
        <v>28534</v>
      </c>
      <c r="AG94" s="157">
        <f t="shared" si="76"/>
        <v>22814</v>
      </c>
      <c r="AH94" s="157">
        <f t="shared" si="76"/>
        <v>17444</v>
      </c>
      <c r="AI94" s="157">
        <f t="shared" si="76"/>
        <v>13495</v>
      </c>
      <c r="AJ94" s="389" t="s">
        <v>694</v>
      </c>
      <c r="AK94" s="389" t="s">
        <v>694</v>
      </c>
      <c r="AL94" s="389" t="s">
        <v>694</v>
      </c>
      <c r="AN94" s="173"/>
      <c r="AO94" s="173"/>
    </row>
    <row r="95" spans="2:41">
      <c r="B95" s="462"/>
      <c r="C95" s="34"/>
      <c r="D95" s="36" t="s">
        <v>1</v>
      </c>
      <c r="E95" s="155">
        <f>-104721</f>
        <v>-104721</v>
      </c>
      <c r="F95" s="155">
        <f>-116319</f>
        <v>-116319</v>
      </c>
      <c r="G95" s="155">
        <v>-135570</v>
      </c>
      <c r="H95" s="155">
        <f>-145919</f>
        <v>-145919</v>
      </c>
      <c r="I95" s="155">
        <f>-126085</f>
        <v>-126085</v>
      </c>
      <c r="J95" s="155">
        <f>-128713</f>
        <v>-128713</v>
      </c>
      <c r="K95" s="155">
        <f>-87043</f>
        <v>-87043</v>
      </c>
      <c r="L95" s="155">
        <f>-66949</f>
        <v>-66949</v>
      </c>
      <c r="M95" s="155">
        <f>-105877</f>
        <v>-105877</v>
      </c>
      <c r="N95" s="155">
        <v>-197102</v>
      </c>
      <c r="O95" s="155">
        <v>-12815</v>
      </c>
      <c r="P95" s="171" t="s">
        <v>694</v>
      </c>
      <c r="R95" s="155">
        <v>-68978</v>
      </c>
      <c r="S95" s="155">
        <f t="shared" si="74"/>
        <v>-66592</v>
      </c>
      <c r="T95" s="155">
        <v>-76359</v>
      </c>
      <c r="U95" s="155">
        <f t="shared" ref="U95:U97" si="77">H95-T95</f>
        <v>-69560</v>
      </c>
      <c r="V95" s="155">
        <v>-69672</v>
      </c>
      <c r="W95" s="155">
        <f>I95-V95</f>
        <v>-56413</v>
      </c>
      <c r="X95" s="155">
        <v>-69943</v>
      </c>
      <c r="Y95" s="155">
        <f>J95-X95</f>
        <v>-58770</v>
      </c>
      <c r="Z95" s="155">
        <v>-49890</v>
      </c>
      <c r="AA95" s="155">
        <f>K95-Z95</f>
        <v>-37153</v>
      </c>
      <c r="AB95" s="155">
        <v>-37806</v>
      </c>
      <c r="AC95" s="155">
        <f>L95-AB95</f>
        <v>-29143</v>
      </c>
      <c r="AD95" s="155">
        <v>-31782</v>
      </c>
      <c r="AE95" s="155">
        <f>M95-AD95</f>
        <v>-74095</v>
      </c>
      <c r="AF95" s="155">
        <v>-48543</v>
      </c>
      <c r="AG95" s="155">
        <v>-148559</v>
      </c>
      <c r="AH95" s="155">
        <v>-13000</v>
      </c>
      <c r="AI95" s="155">
        <v>185</v>
      </c>
      <c r="AJ95" s="216" t="s">
        <v>694</v>
      </c>
      <c r="AK95" s="216" t="s">
        <v>694</v>
      </c>
      <c r="AL95" s="216" t="s">
        <v>694</v>
      </c>
      <c r="AN95" s="173"/>
      <c r="AO95" s="173"/>
    </row>
    <row r="96" spans="2:41">
      <c r="B96" s="462"/>
      <c r="C96" s="34"/>
      <c r="D96" s="36" t="s">
        <v>605</v>
      </c>
      <c r="E96" s="155">
        <v>-10745</v>
      </c>
      <c r="F96" s="155">
        <v>-13657</v>
      </c>
      <c r="G96" s="155">
        <v>-15299</v>
      </c>
      <c r="H96" s="155">
        <f>-16180</f>
        <v>-16180</v>
      </c>
      <c r="I96" s="155">
        <f>-14742</f>
        <v>-14742</v>
      </c>
      <c r="J96" s="155">
        <f>-13140</f>
        <v>-13140</v>
      </c>
      <c r="K96" s="155">
        <v>-9864</v>
      </c>
      <c r="L96" s="155">
        <f>-8504</f>
        <v>-8504</v>
      </c>
      <c r="M96" s="155">
        <f>-7765</f>
        <v>-7765</v>
      </c>
      <c r="N96" s="155">
        <v>-8703</v>
      </c>
      <c r="O96" s="155">
        <v>-7666</v>
      </c>
      <c r="P96" s="171" t="s">
        <v>694</v>
      </c>
      <c r="R96" s="155">
        <v>-5952</v>
      </c>
      <c r="S96" s="155">
        <f t="shared" si="74"/>
        <v>-9347</v>
      </c>
      <c r="T96" s="155">
        <v>-7949</v>
      </c>
      <c r="U96" s="155">
        <f t="shared" si="77"/>
        <v>-8231</v>
      </c>
      <c r="V96" s="155">
        <v>-7519</v>
      </c>
      <c r="W96" s="155">
        <f>I96-V96</f>
        <v>-7223</v>
      </c>
      <c r="X96" s="155">
        <v>-6284</v>
      </c>
      <c r="Y96" s="155">
        <f>J96-X96</f>
        <v>-6856</v>
      </c>
      <c r="Z96" s="155">
        <v>-5041</v>
      </c>
      <c r="AA96" s="155">
        <f>K96-Z96</f>
        <v>-4823</v>
      </c>
      <c r="AB96" s="155">
        <v>-4299</v>
      </c>
      <c r="AC96" s="155">
        <f>L96-AB96</f>
        <v>-4205</v>
      </c>
      <c r="AD96" s="155">
        <v>-4063</v>
      </c>
      <c r="AE96" s="155">
        <f>M96-AD96</f>
        <v>-3702</v>
      </c>
      <c r="AF96" s="155">
        <v>-3797</v>
      </c>
      <c r="AG96" s="155">
        <v>-4906</v>
      </c>
      <c r="AH96" s="155">
        <v>-3630</v>
      </c>
      <c r="AI96" s="155">
        <v>-4036</v>
      </c>
      <c r="AJ96" s="216" t="s">
        <v>694</v>
      </c>
      <c r="AK96" s="216" t="s">
        <v>694</v>
      </c>
      <c r="AL96" s="216" t="s">
        <v>694</v>
      </c>
      <c r="AN96" s="173"/>
      <c r="AO96" s="173"/>
    </row>
    <row r="97" spans="2:41">
      <c r="B97" s="462"/>
      <c r="C97" s="34"/>
      <c r="D97" s="63" t="s">
        <v>5</v>
      </c>
      <c r="E97" s="156">
        <v>-1511</v>
      </c>
      <c r="F97" s="156">
        <v>123</v>
      </c>
      <c r="G97" s="156">
        <v>562</v>
      </c>
      <c r="H97" s="156">
        <v>-140</v>
      </c>
      <c r="I97" s="156">
        <v>430</v>
      </c>
      <c r="J97" s="156">
        <v>782</v>
      </c>
      <c r="K97" s="156">
        <v>253</v>
      </c>
      <c r="L97" s="156">
        <v>73</v>
      </c>
      <c r="M97" s="156">
        <f>-270</f>
        <v>-270</v>
      </c>
      <c r="N97" s="156">
        <v>196</v>
      </c>
      <c r="O97" s="156">
        <v>-247</v>
      </c>
      <c r="P97" s="366" t="s">
        <v>694</v>
      </c>
      <c r="R97" s="156">
        <v>379</v>
      </c>
      <c r="S97" s="156">
        <f t="shared" si="74"/>
        <v>183</v>
      </c>
      <c r="T97" s="156">
        <v>-247</v>
      </c>
      <c r="U97" s="156">
        <f t="shared" si="77"/>
        <v>107</v>
      </c>
      <c r="V97" s="156">
        <v>239</v>
      </c>
      <c r="W97" s="156">
        <f>I97-V97</f>
        <v>191</v>
      </c>
      <c r="X97" s="156">
        <v>155</v>
      </c>
      <c r="Y97" s="156">
        <f>J97-X97</f>
        <v>627</v>
      </c>
      <c r="Z97" s="156">
        <v>213</v>
      </c>
      <c r="AA97" s="156">
        <f>K97-Z97</f>
        <v>40</v>
      </c>
      <c r="AB97" s="156">
        <v>59</v>
      </c>
      <c r="AC97" s="156">
        <f>L97-AB97</f>
        <v>14</v>
      </c>
      <c r="AD97" s="156">
        <v>-423</v>
      </c>
      <c r="AE97" s="156">
        <f>M97-AD97</f>
        <v>153</v>
      </c>
      <c r="AF97" s="156">
        <v>55</v>
      </c>
      <c r="AG97" s="156">
        <v>141</v>
      </c>
      <c r="AH97" s="156">
        <v>19</v>
      </c>
      <c r="AI97" s="156">
        <v>-266</v>
      </c>
      <c r="AJ97" s="445" t="s">
        <v>694</v>
      </c>
      <c r="AK97" s="445" t="s">
        <v>694</v>
      </c>
      <c r="AL97" s="445" t="s">
        <v>694</v>
      </c>
      <c r="AN97" s="173"/>
      <c r="AO97" s="173"/>
    </row>
    <row r="98" spans="2:41">
      <c r="B98" s="462"/>
      <c r="C98" s="34"/>
      <c r="D98" s="36" t="s">
        <v>6</v>
      </c>
      <c r="E98" s="155">
        <f t="shared" ref="E98:N98" si="78">SUM(E94:E97)</f>
        <v>45610</v>
      </c>
      <c r="F98" s="155">
        <f t="shared" si="78"/>
        <v>92841</v>
      </c>
      <c r="G98" s="155">
        <f t="shared" si="78"/>
        <v>115180</v>
      </c>
      <c r="H98" s="155">
        <f t="shared" si="78"/>
        <v>123677</v>
      </c>
      <c r="I98" s="155">
        <f t="shared" si="78"/>
        <v>92815</v>
      </c>
      <c r="J98" s="155">
        <f t="shared" si="78"/>
        <v>61331</v>
      </c>
      <c r="K98" s="155">
        <f t="shared" si="78"/>
        <v>19868</v>
      </c>
      <c r="L98" s="155">
        <f t="shared" si="78"/>
        <v>10905</v>
      </c>
      <c r="M98" s="155">
        <f>SUM(M94:M97)</f>
        <v>-54942</v>
      </c>
      <c r="N98" s="155">
        <f t="shared" si="78"/>
        <v>-154261</v>
      </c>
      <c r="O98" s="155">
        <f>SUM(O94:O97)</f>
        <v>10211</v>
      </c>
      <c r="P98" s="171" t="s">
        <v>694</v>
      </c>
      <c r="R98" s="155">
        <f t="shared" ref="R98:AI98" si="79">SUM(R94:R97)</f>
        <v>53658</v>
      </c>
      <c r="S98" s="155">
        <f t="shared" si="74"/>
        <v>61522</v>
      </c>
      <c r="T98" s="155">
        <f t="shared" si="79"/>
        <v>70071</v>
      </c>
      <c r="U98" s="155">
        <f t="shared" si="79"/>
        <v>53606</v>
      </c>
      <c r="V98" s="155">
        <f t="shared" si="79"/>
        <v>56451</v>
      </c>
      <c r="W98" s="155">
        <f t="shared" si="79"/>
        <v>36364</v>
      </c>
      <c r="X98" s="155">
        <f t="shared" si="79"/>
        <v>37612</v>
      </c>
      <c r="Y98" s="155">
        <f t="shared" si="79"/>
        <v>23719</v>
      </c>
      <c r="Z98" s="155">
        <f t="shared" si="79"/>
        <v>12975</v>
      </c>
      <c r="AA98" s="155">
        <f t="shared" si="79"/>
        <v>6893</v>
      </c>
      <c r="AB98" s="155">
        <f t="shared" si="79"/>
        <v>8947</v>
      </c>
      <c r="AC98" s="155">
        <f t="shared" si="79"/>
        <v>1958</v>
      </c>
      <c r="AD98" s="155">
        <v>1817</v>
      </c>
      <c r="AE98" s="155">
        <f t="shared" si="79"/>
        <v>-56759</v>
      </c>
      <c r="AF98" s="155">
        <f t="shared" si="79"/>
        <v>-23751</v>
      </c>
      <c r="AG98" s="155">
        <f t="shared" si="79"/>
        <v>-130510</v>
      </c>
      <c r="AH98" s="155">
        <f t="shared" si="79"/>
        <v>833</v>
      </c>
      <c r="AI98" s="155">
        <f t="shared" si="79"/>
        <v>9378</v>
      </c>
      <c r="AJ98" s="216" t="s">
        <v>694</v>
      </c>
      <c r="AK98" s="216" t="s">
        <v>694</v>
      </c>
      <c r="AL98" s="216" t="s">
        <v>694</v>
      </c>
      <c r="AN98" s="173"/>
      <c r="AO98" s="173"/>
    </row>
    <row r="99" spans="2:41">
      <c r="B99" s="462"/>
      <c r="C99" s="34"/>
      <c r="D99" s="36"/>
      <c r="E99" s="155"/>
      <c r="F99" s="155"/>
      <c r="G99" s="155"/>
      <c r="H99" s="155"/>
      <c r="I99" s="155"/>
      <c r="J99" s="155"/>
      <c r="K99" s="155"/>
      <c r="L99" s="155"/>
      <c r="M99" s="155"/>
      <c r="N99" s="155"/>
      <c r="O99" s="155"/>
      <c r="P99" s="171"/>
      <c r="R99" s="155"/>
      <c r="S99" s="155">
        <f t="shared" si="74"/>
        <v>0</v>
      </c>
      <c r="T99" s="155"/>
      <c r="U99" s="155"/>
      <c r="V99" s="155"/>
      <c r="W99" s="155"/>
      <c r="X99" s="155"/>
      <c r="Y99" s="155"/>
      <c r="Z99" s="155"/>
      <c r="AA99" s="155"/>
      <c r="AB99" s="155"/>
      <c r="AC99" s="155"/>
      <c r="AD99" s="155"/>
      <c r="AE99" s="155"/>
      <c r="AF99" s="155"/>
      <c r="AG99" s="155"/>
      <c r="AH99" s="155"/>
      <c r="AI99" s="155"/>
      <c r="AJ99" s="216"/>
      <c r="AK99" s="216"/>
      <c r="AL99" s="216"/>
      <c r="AN99" s="173"/>
      <c r="AO99" s="173"/>
    </row>
    <row r="100" spans="2:41">
      <c r="B100" s="462"/>
      <c r="C100" s="34"/>
      <c r="D100" s="36" t="s">
        <v>9</v>
      </c>
      <c r="E100" s="155">
        <v>-25478</v>
      </c>
      <c r="F100" s="155">
        <v>-10152</v>
      </c>
      <c r="G100" s="155">
        <v>-7425</v>
      </c>
      <c r="H100" s="155">
        <v>-4287</v>
      </c>
      <c r="I100" s="155">
        <f>-1467</f>
        <v>-1467</v>
      </c>
      <c r="J100" s="155">
        <f>-3573</f>
        <v>-3573</v>
      </c>
      <c r="K100" s="155">
        <f>-2352</f>
        <v>-2352</v>
      </c>
      <c r="L100" s="155">
        <f>-1189</f>
        <v>-1189</v>
      </c>
      <c r="M100" s="155">
        <f>-693</f>
        <v>-693</v>
      </c>
      <c r="N100" s="155">
        <v>-721</v>
      </c>
      <c r="O100" s="155">
        <v>-265</v>
      </c>
      <c r="P100" s="171" t="s">
        <v>694</v>
      </c>
      <c r="R100" s="155">
        <v>-9140</v>
      </c>
      <c r="S100" s="155">
        <f t="shared" si="74"/>
        <v>1715</v>
      </c>
      <c r="T100" s="155">
        <v>-1722</v>
      </c>
      <c r="U100" s="155">
        <f t="shared" ref="U100:U102" si="80">H100-T100</f>
        <v>-2565</v>
      </c>
      <c r="V100" s="155">
        <v>-1157</v>
      </c>
      <c r="W100" s="155">
        <f>I100-V100</f>
        <v>-310</v>
      </c>
      <c r="X100" s="155">
        <v>-1614</v>
      </c>
      <c r="Y100" s="155">
        <f>J100-X100</f>
        <v>-1959</v>
      </c>
      <c r="Z100" s="155">
        <v>-1277</v>
      </c>
      <c r="AA100" s="155">
        <f>K100-Z100</f>
        <v>-1075</v>
      </c>
      <c r="AB100" s="155">
        <v>-715</v>
      </c>
      <c r="AC100" s="155">
        <f>L100-AB100</f>
        <v>-474</v>
      </c>
      <c r="AD100" s="155">
        <v>-388</v>
      </c>
      <c r="AE100" s="155">
        <f>M100-AD100</f>
        <v>-305</v>
      </c>
      <c r="AF100" s="155">
        <v>-376</v>
      </c>
      <c r="AG100" s="155">
        <v>-345</v>
      </c>
      <c r="AH100" s="155">
        <v>-164</v>
      </c>
      <c r="AI100" s="155">
        <v>-101</v>
      </c>
      <c r="AJ100" s="216" t="s">
        <v>694</v>
      </c>
      <c r="AK100" s="216" t="s">
        <v>694</v>
      </c>
      <c r="AL100" s="216" t="s">
        <v>694</v>
      </c>
      <c r="AN100" s="173"/>
      <c r="AO100" s="173"/>
    </row>
    <row r="101" spans="2:41">
      <c r="B101" s="462"/>
      <c r="C101" s="34"/>
      <c r="D101" s="36" t="s">
        <v>606</v>
      </c>
      <c r="E101" s="155">
        <v>478</v>
      </c>
      <c r="F101" s="155">
        <v>84</v>
      </c>
      <c r="G101" s="155">
        <v>143</v>
      </c>
      <c r="H101" s="155">
        <v>357</v>
      </c>
      <c r="I101" s="155">
        <v>73</v>
      </c>
      <c r="J101" s="155">
        <v>43</v>
      </c>
      <c r="K101" s="155">
        <v>38</v>
      </c>
      <c r="L101" s="155">
        <v>31</v>
      </c>
      <c r="M101" s="155">
        <v>18</v>
      </c>
      <c r="N101" s="155">
        <v>18</v>
      </c>
      <c r="O101" s="155">
        <v>7</v>
      </c>
      <c r="P101" s="171" t="s">
        <v>694</v>
      </c>
      <c r="R101" s="155">
        <v>15</v>
      </c>
      <c r="S101" s="155">
        <f t="shared" si="74"/>
        <v>128</v>
      </c>
      <c r="T101" s="155">
        <v>318</v>
      </c>
      <c r="U101" s="155">
        <f t="shared" si="80"/>
        <v>39</v>
      </c>
      <c r="V101" s="155">
        <v>44</v>
      </c>
      <c r="W101" s="155">
        <f>I101-V101</f>
        <v>29</v>
      </c>
      <c r="X101" s="155">
        <v>25</v>
      </c>
      <c r="Y101" s="155">
        <f>J101-X101</f>
        <v>18</v>
      </c>
      <c r="Z101" s="155">
        <v>18</v>
      </c>
      <c r="AA101" s="155">
        <v>20</v>
      </c>
      <c r="AB101" s="155">
        <v>20</v>
      </c>
      <c r="AC101" s="155">
        <f>L101-AB101</f>
        <v>11</v>
      </c>
      <c r="AD101" s="155">
        <v>10</v>
      </c>
      <c r="AE101" s="155">
        <f>M101-AD101</f>
        <v>8</v>
      </c>
      <c r="AF101" s="155">
        <v>6</v>
      </c>
      <c r="AG101" s="155">
        <v>12</v>
      </c>
      <c r="AH101" s="155">
        <v>5</v>
      </c>
      <c r="AI101" s="155">
        <v>2</v>
      </c>
      <c r="AJ101" s="216" t="s">
        <v>694</v>
      </c>
      <c r="AK101" s="216" t="s">
        <v>694</v>
      </c>
      <c r="AL101" s="216" t="s">
        <v>694</v>
      </c>
      <c r="AN101" s="173"/>
      <c r="AO101" s="173"/>
    </row>
    <row r="102" spans="2:41">
      <c r="B102" s="462"/>
      <c r="C102" s="34"/>
      <c r="D102" s="36" t="s">
        <v>607</v>
      </c>
      <c r="E102" s="155">
        <v>-16128</v>
      </c>
      <c r="F102" s="155">
        <v>-12183</v>
      </c>
      <c r="G102" s="155">
        <v>-3909</v>
      </c>
      <c r="H102" s="155">
        <v>-4464</v>
      </c>
      <c r="I102" s="155">
        <f>-1355</f>
        <v>-1355</v>
      </c>
      <c r="J102" s="155">
        <f>-2946</f>
        <v>-2946</v>
      </c>
      <c r="K102" s="155">
        <f>-2470</f>
        <v>-2470</v>
      </c>
      <c r="L102" s="155">
        <f>-1208</f>
        <v>-1208</v>
      </c>
      <c r="M102" s="155">
        <f>-709</f>
        <v>-709</v>
      </c>
      <c r="N102" s="155">
        <v>-481</v>
      </c>
      <c r="O102" s="155">
        <v>-244</v>
      </c>
      <c r="P102" s="171" t="s">
        <v>694</v>
      </c>
      <c r="R102" s="155">
        <v>-2221</v>
      </c>
      <c r="S102" s="155">
        <f t="shared" si="74"/>
        <v>-1688</v>
      </c>
      <c r="T102" s="155">
        <v>-2370</v>
      </c>
      <c r="U102" s="155">
        <f t="shared" si="80"/>
        <v>-2094</v>
      </c>
      <c r="V102" s="155">
        <v>-1149</v>
      </c>
      <c r="W102" s="155">
        <f>I102-V102</f>
        <v>-206</v>
      </c>
      <c r="X102" s="155">
        <v>-1453</v>
      </c>
      <c r="Y102" s="155">
        <f>J102-X102</f>
        <v>-1493</v>
      </c>
      <c r="Z102" s="155">
        <v>-1363</v>
      </c>
      <c r="AA102" s="155">
        <f>K102-Z102</f>
        <v>-1107</v>
      </c>
      <c r="AB102" s="155">
        <v>-718</v>
      </c>
      <c r="AC102" s="155">
        <f>L102-AB102</f>
        <v>-490</v>
      </c>
      <c r="AD102" s="155">
        <v>-400</v>
      </c>
      <c r="AE102" s="155">
        <f>M102-AD102</f>
        <v>-309</v>
      </c>
      <c r="AF102" s="155">
        <v>-248</v>
      </c>
      <c r="AG102" s="155">
        <v>-233</v>
      </c>
      <c r="AH102" s="155">
        <v>-145</v>
      </c>
      <c r="AI102" s="155">
        <v>-99</v>
      </c>
      <c r="AJ102" s="216" t="s">
        <v>694</v>
      </c>
      <c r="AK102" s="216" t="s">
        <v>694</v>
      </c>
      <c r="AL102" s="216" t="s">
        <v>694</v>
      </c>
      <c r="AN102" s="173"/>
      <c r="AO102" s="173"/>
    </row>
    <row r="103" spans="2:41">
      <c r="B103" s="462"/>
      <c r="C103" s="34"/>
      <c r="D103" s="36" t="s">
        <v>608</v>
      </c>
      <c r="E103" s="155">
        <v>0</v>
      </c>
      <c r="F103" s="155">
        <v>0</v>
      </c>
      <c r="G103" s="155">
        <v>0</v>
      </c>
      <c r="H103" s="155">
        <v>0</v>
      </c>
      <c r="I103" s="155">
        <v>0</v>
      </c>
      <c r="J103" s="155">
        <v>0</v>
      </c>
      <c r="K103" s="155">
        <v>0</v>
      </c>
      <c r="L103" s="155">
        <v>0</v>
      </c>
      <c r="M103" s="155">
        <v>0</v>
      </c>
      <c r="N103" s="155">
        <v>0</v>
      </c>
      <c r="O103" s="155">
        <v>0</v>
      </c>
      <c r="P103" s="171" t="s">
        <v>694</v>
      </c>
      <c r="R103" s="155">
        <v>0</v>
      </c>
      <c r="S103" s="155">
        <v>0</v>
      </c>
      <c r="T103" s="155">
        <v>0</v>
      </c>
      <c r="U103" s="155">
        <v>0</v>
      </c>
      <c r="V103" s="155">
        <v>0</v>
      </c>
      <c r="W103" s="155">
        <v>0</v>
      </c>
      <c r="X103" s="155">
        <v>0</v>
      </c>
      <c r="Y103" s="155">
        <v>0</v>
      </c>
      <c r="Z103" s="155">
        <v>0</v>
      </c>
      <c r="AA103" s="155">
        <v>0</v>
      </c>
      <c r="AB103" s="155">
        <v>0</v>
      </c>
      <c r="AC103" s="155">
        <v>0</v>
      </c>
      <c r="AD103" s="155">
        <v>0</v>
      </c>
      <c r="AE103" s="155">
        <f>M103-AD103</f>
        <v>0</v>
      </c>
      <c r="AF103" s="155">
        <v>0</v>
      </c>
      <c r="AG103" s="155">
        <v>0</v>
      </c>
      <c r="AH103" s="155">
        <v>0</v>
      </c>
      <c r="AI103" s="155">
        <v>0</v>
      </c>
      <c r="AJ103" s="216" t="s">
        <v>694</v>
      </c>
      <c r="AK103" s="216" t="s">
        <v>694</v>
      </c>
      <c r="AL103" s="216" t="s">
        <v>694</v>
      </c>
      <c r="AN103" s="173"/>
      <c r="AO103" s="173"/>
    </row>
    <row r="104" spans="2:41">
      <c r="B104" s="462"/>
      <c r="C104" s="34"/>
      <c r="D104" s="36" t="s">
        <v>609</v>
      </c>
      <c r="E104" s="216" t="s">
        <v>694</v>
      </c>
      <c r="F104" s="216" t="s">
        <v>694</v>
      </c>
      <c r="G104" s="216" t="s">
        <v>694</v>
      </c>
      <c r="H104" s="216" t="s">
        <v>694</v>
      </c>
      <c r="I104" s="216" t="s">
        <v>694</v>
      </c>
      <c r="J104" s="216" t="s">
        <v>694</v>
      </c>
      <c r="K104" s="155">
        <v>80</v>
      </c>
      <c r="L104" s="155">
        <f>-12</f>
        <v>-12</v>
      </c>
      <c r="M104" s="155">
        <f>-3</f>
        <v>-3</v>
      </c>
      <c r="N104" s="155">
        <v>-258</v>
      </c>
      <c r="O104" s="155">
        <v>-28</v>
      </c>
      <c r="P104" s="171" t="s">
        <v>694</v>
      </c>
      <c r="R104" s="216" t="s">
        <v>694</v>
      </c>
      <c r="S104" s="216" t="s">
        <v>694</v>
      </c>
      <c r="T104" s="216" t="s">
        <v>694</v>
      </c>
      <c r="U104" s="216" t="s">
        <v>694</v>
      </c>
      <c r="V104" s="216" t="s">
        <v>694</v>
      </c>
      <c r="W104" s="216" t="s">
        <v>694</v>
      </c>
      <c r="X104" s="216" t="s">
        <v>694</v>
      </c>
      <c r="Y104" s="216" t="s">
        <v>694</v>
      </c>
      <c r="Z104" s="216" t="s">
        <v>694</v>
      </c>
      <c r="AA104" s="216" t="s">
        <v>694</v>
      </c>
      <c r="AB104" s="155">
        <f>-17</f>
        <v>-17</v>
      </c>
      <c r="AC104" s="155">
        <f>L104-AB104</f>
        <v>5</v>
      </c>
      <c r="AD104" s="155">
        <v>2</v>
      </c>
      <c r="AE104" s="155">
        <f>M104-AD104</f>
        <v>-5</v>
      </c>
      <c r="AF104" s="155">
        <v>-133</v>
      </c>
      <c r="AG104" s="155">
        <v>-125</v>
      </c>
      <c r="AH104" s="155">
        <v>-24</v>
      </c>
      <c r="AI104" s="155">
        <v>-4</v>
      </c>
      <c r="AJ104" s="216" t="s">
        <v>694</v>
      </c>
      <c r="AK104" s="216" t="s">
        <v>694</v>
      </c>
      <c r="AL104" s="216" t="s">
        <v>694</v>
      </c>
      <c r="AN104" s="173"/>
      <c r="AO104" s="173"/>
    </row>
    <row r="105" spans="2:41">
      <c r="B105" s="462"/>
      <c r="C105" s="34"/>
      <c r="D105" s="36"/>
      <c r="E105" s="155"/>
      <c r="F105" s="155"/>
      <c r="G105" s="155"/>
      <c r="H105" s="155"/>
      <c r="I105" s="155"/>
      <c r="J105" s="155"/>
      <c r="K105" s="155"/>
      <c r="L105" s="155"/>
      <c r="M105" s="155"/>
      <c r="N105" s="155"/>
      <c r="O105" s="155"/>
      <c r="P105" s="171"/>
      <c r="R105" s="155"/>
      <c r="S105" s="155"/>
      <c r="T105" s="155"/>
      <c r="U105" s="155"/>
      <c r="V105" s="155"/>
      <c r="W105" s="155"/>
      <c r="X105" s="155"/>
      <c r="Y105" s="155"/>
      <c r="Z105" s="155"/>
      <c r="AA105" s="155"/>
      <c r="AB105" s="155"/>
      <c r="AC105" s="155"/>
      <c r="AD105" s="155"/>
      <c r="AE105" s="155"/>
      <c r="AF105" s="155"/>
      <c r="AG105" s="155"/>
      <c r="AH105" s="155"/>
      <c r="AI105" s="155"/>
      <c r="AJ105" s="216"/>
      <c r="AK105" s="216"/>
      <c r="AL105" s="216"/>
      <c r="AN105" s="173"/>
      <c r="AO105" s="173"/>
    </row>
    <row r="106" spans="2:41">
      <c r="B106" s="462"/>
      <c r="C106" s="34"/>
      <c r="D106" s="36" t="s">
        <v>610</v>
      </c>
      <c r="E106" s="155">
        <v>0</v>
      </c>
      <c r="F106" s="155">
        <v>0</v>
      </c>
      <c r="G106" s="155">
        <v>0</v>
      </c>
      <c r="H106" s="155">
        <v>0</v>
      </c>
      <c r="I106" s="155">
        <v>0</v>
      </c>
      <c r="J106" s="155">
        <v>0</v>
      </c>
      <c r="K106" s="155">
        <v>0</v>
      </c>
      <c r="L106" s="155">
        <v>0</v>
      </c>
      <c r="M106" s="155">
        <v>0</v>
      </c>
      <c r="N106" s="155">
        <v>0</v>
      </c>
      <c r="O106" s="155">
        <v>0</v>
      </c>
      <c r="P106" s="171" t="s">
        <v>694</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216" t="s">
        <v>694</v>
      </c>
      <c r="AK106" s="216" t="s">
        <v>694</v>
      </c>
      <c r="AL106" s="216" t="s">
        <v>694</v>
      </c>
      <c r="AN106" s="173"/>
      <c r="AO106" s="173"/>
    </row>
    <row r="107" spans="2:41">
      <c r="B107" s="462"/>
      <c r="C107" s="34"/>
      <c r="D107" s="63"/>
      <c r="E107" s="156"/>
      <c r="F107" s="156"/>
      <c r="G107" s="156"/>
      <c r="H107" s="156"/>
      <c r="I107" s="156"/>
      <c r="J107" s="156"/>
      <c r="K107" s="156"/>
      <c r="L107" s="156"/>
      <c r="M107" s="156"/>
      <c r="N107" s="156"/>
      <c r="O107" s="156"/>
      <c r="P107" s="366"/>
      <c r="R107" s="156"/>
      <c r="S107" s="156"/>
      <c r="T107" s="156"/>
      <c r="U107" s="156"/>
      <c r="V107" s="156"/>
      <c r="W107" s="156"/>
      <c r="X107" s="156"/>
      <c r="Y107" s="156"/>
      <c r="Z107" s="156"/>
      <c r="AA107" s="156"/>
      <c r="AB107" s="156"/>
      <c r="AC107" s="156"/>
      <c r="AD107" s="156"/>
      <c r="AE107" s="156"/>
      <c r="AF107" s="156"/>
      <c r="AG107" s="156"/>
      <c r="AH107" s="156"/>
      <c r="AI107" s="156"/>
      <c r="AJ107" s="445"/>
      <c r="AK107" s="445"/>
      <c r="AL107" s="445"/>
      <c r="AN107" s="173"/>
      <c r="AO107" s="173"/>
    </row>
    <row r="108" spans="2:41">
      <c r="B108" s="462"/>
      <c r="C108" s="34"/>
      <c r="D108" s="36" t="s">
        <v>10</v>
      </c>
      <c r="E108" s="155">
        <f t="shared" ref="E108:N108" si="81">SUM(E98:E100,E106)</f>
        <v>20132</v>
      </c>
      <c r="F108" s="155">
        <f t="shared" si="81"/>
        <v>82689</v>
      </c>
      <c r="G108" s="155">
        <f t="shared" si="81"/>
        <v>107755</v>
      </c>
      <c r="H108" s="155">
        <f t="shared" si="81"/>
        <v>119390</v>
      </c>
      <c r="I108" s="155">
        <f t="shared" si="81"/>
        <v>91348</v>
      </c>
      <c r="J108" s="155">
        <f t="shared" si="81"/>
        <v>57758</v>
      </c>
      <c r="K108" s="155">
        <f t="shared" si="81"/>
        <v>17516</v>
      </c>
      <c r="L108" s="155">
        <f t="shared" si="81"/>
        <v>9716</v>
      </c>
      <c r="M108" s="155">
        <f t="shared" si="81"/>
        <v>-55635</v>
      </c>
      <c r="N108" s="155">
        <f t="shared" si="81"/>
        <v>-154982</v>
      </c>
      <c r="O108" s="155">
        <f>SUM(O98:O100,O106)</f>
        <v>9946</v>
      </c>
      <c r="P108" s="171" t="s">
        <v>694</v>
      </c>
      <c r="R108" s="155">
        <f t="shared" ref="R108:AI108" si="82">SUM(R98:R100,R106)</f>
        <v>44518</v>
      </c>
      <c r="S108" s="155">
        <f t="shared" si="82"/>
        <v>63237</v>
      </c>
      <c r="T108" s="155">
        <f t="shared" si="82"/>
        <v>68349</v>
      </c>
      <c r="U108" s="155">
        <f t="shared" si="82"/>
        <v>51041</v>
      </c>
      <c r="V108" s="155">
        <f t="shared" si="82"/>
        <v>55294</v>
      </c>
      <c r="W108" s="155">
        <f t="shared" ref="W108:Y108" si="83">SUM(W98:W100,W106)</f>
        <v>36054</v>
      </c>
      <c r="X108" s="155">
        <f t="shared" si="82"/>
        <v>35998</v>
      </c>
      <c r="Y108" s="155">
        <f t="shared" si="83"/>
        <v>21760</v>
      </c>
      <c r="Z108" s="155">
        <f t="shared" si="82"/>
        <v>11698</v>
      </c>
      <c r="AA108" s="155">
        <f t="shared" si="82"/>
        <v>5818</v>
      </c>
      <c r="AB108" s="155">
        <f t="shared" si="82"/>
        <v>8232</v>
      </c>
      <c r="AC108" s="155">
        <f t="shared" si="82"/>
        <v>1484</v>
      </c>
      <c r="AD108" s="155">
        <f t="shared" si="82"/>
        <v>1429</v>
      </c>
      <c r="AE108" s="155">
        <f t="shared" si="82"/>
        <v>-57064</v>
      </c>
      <c r="AF108" s="155">
        <f t="shared" si="82"/>
        <v>-24127</v>
      </c>
      <c r="AG108" s="155">
        <f t="shared" si="82"/>
        <v>-130855</v>
      </c>
      <c r="AH108" s="155">
        <f t="shared" si="82"/>
        <v>669</v>
      </c>
      <c r="AI108" s="155">
        <f t="shared" si="82"/>
        <v>9277</v>
      </c>
      <c r="AJ108" s="216" t="s">
        <v>694</v>
      </c>
      <c r="AK108" s="216" t="s">
        <v>694</v>
      </c>
      <c r="AL108" s="216" t="s">
        <v>694</v>
      </c>
      <c r="AN108" s="173"/>
      <c r="AO108" s="173"/>
    </row>
    <row r="109" spans="2:41">
      <c r="B109" s="462"/>
      <c r="C109" s="34"/>
      <c r="D109" s="41" t="s">
        <v>11</v>
      </c>
      <c r="E109" s="154">
        <v>0</v>
      </c>
      <c r="F109" s="154">
        <v>0</v>
      </c>
      <c r="G109" s="154"/>
      <c r="H109" s="154">
        <v>-42805</v>
      </c>
      <c r="I109" s="154">
        <v>1866</v>
      </c>
      <c r="J109" s="154">
        <v>1329</v>
      </c>
      <c r="K109" s="154">
        <v>0</v>
      </c>
      <c r="L109" s="154">
        <f>-1946</f>
        <v>-1946</v>
      </c>
      <c r="M109" s="154">
        <v>1956</v>
      </c>
      <c r="N109" s="154">
        <v>0</v>
      </c>
      <c r="O109" s="154">
        <v>0</v>
      </c>
      <c r="P109" s="326" t="s">
        <v>694</v>
      </c>
      <c r="R109" s="154"/>
      <c r="S109" s="154">
        <f t="shared" si="74"/>
        <v>0</v>
      </c>
      <c r="T109" s="154">
        <v>-32101</v>
      </c>
      <c r="U109" s="154">
        <f>H109-T109</f>
        <v>-10704</v>
      </c>
      <c r="V109" s="154">
        <v>-11344</v>
      </c>
      <c r="W109" s="154">
        <f>I109-V109</f>
        <v>13210</v>
      </c>
      <c r="X109" s="154">
        <v>-7410</v>
      </c>
      <c r="Y109" s="154">
        <f>J109-X109</f>
        <v>8739</v>
      </c>
      <c r="Z109" s="154">
        <v>-2463</v>
      </c>
      <c r="AA109" s="154">
        <v>2463</v>
      </c>
      <c r="AB109" s="154">
        <v>10</v>
      </c>
      <c r="AC109" s="154">
        <f>L109-AB109</f>
        <v>-1956</v>
      </c>
      <c r="AD109" s="154">
        <v>-1921</v>
      </c>
      <c r="AE109" s="154">
        <f>M109-AD109</f>
        <v>3877</v>
      </c>
      <c r="AF109" s="154">
        <v>0</v>
      </c>
      <c r="AG109" s="154">
        <v>0</v>
      </c>
      <c r="AH109" s="154">
        <v>0</v>
      </c>
      <c r="AI109" s="154">
        <v>0</v>
      </c>
      <c r="AJ109" s="446" t="s">
        <v>694</v>
      </c>
      <c r="AK109" s="446" t="s">
        <v>694</v>
      </c>
      <c r="AL109" s="446" t="s">
        <v>694</v>
      </c>
      <c r="AN109" s="173"/>
      <c r="AO109" s="173"/>
    </row>
    <row r="110" spans="2:41">
      <c r="B110" s="462"/>
      <c r="C110" s="34"/>
      <c r="D110" s="32" t="s">
        <v>611</v>
      </c>
      <c r="E110" s="160">
        <f t="shared" ref="E110:N110" si="84">E108+E109</f>
        <v>20132</v>
      </c>
      <c r="F110" s="160">
        <f t="shared" si="84"/>
        <v>82689</v>
      </c>
      <c r="G110" s="160">
        <f t="shared" si="84"/>
        <v>107755</v>
      </c>
      <c r="H110" s="160">
        <f t="shared" si="84"/>
        <v>76585</v>
      </c>
      <c r="I110" s="160">
        <f t="shared" si="84"/>
        <v>93214</v>
      </c>
      <c r="J110" s="160">
        <f t="shared" si="84"/>
        <v>59087</v>
      </c>
      <c r="K110" s="160">
        <f t="shared" si="84"/>
        <v>17516</v>
      </c>
      <c r="L110" s="160">
        <f t="shared" si="84"/>
        <v>7770</v>
      </c>
      <c r="M110" s="160">
        <f t="shared" si="84"/>
        <v>-53679</v>
      </c>
      <c r="N110" s="160">
        <f t="shared" si="84"/>
        <v>-154982</v>
      </c>
      <c r="O110" s="160">
        <f>O108+O109</f>
        <v>9946</v>
      </c>
      <c r="P110" s="350" t="s">
        <v>694</v>
      </c>
      <c r="R110" s="160">
        <f t="shared" ref="R110:AI110" si="85">R108+R109</f>
        <v>44518</v>
      </c>
      <c r="S110" s="160">
        <f t="shared" si="85"/>
        <v>63237</v>
      </c>
      <c r="T110" s="160">
        <f t="shared" si="85"/>
        <v>36248</v>
      </c>
      <c r="U110" s="160">
        <f t="shared" si="85"/>
        <v>40337</v>
      </c>
      <c r="V110" s="160">
        <f t="shared" si="85"/>
        <v>43950</v>
      </c>
      <c r="W110" s="160">
        <f t="shared" si="85"/>
        <v>49264</v>
      </c>
      <c r="X110" s="160">
        <f t="shared" si="85"/>
        <v>28588</v>
      </c>
      <c r="Y110" s="160">
        <f t="shared" si="85"/>
        <v>30499</v>
      </c>
      <c r="Z110" s="160">
        <f t="shared" si="85"/>
        <v>9235</v>
      </c>
      <c r="AA110" s="160">
        <f t="shared" si="85"/>
        <v>8281</v>
      </c>
      <c r="AB110" s="160">
        <f t="shared" si="85"/>
        <v>8242</v>
      </c>
      <c r="AC110" s="160">
        <f t="shared" si="85"/>
        <v>-472</v>
      </c>
      <c r="AD110" s="160">
        <f t="shared" si="85"/>
        <v>-492</v>
      </c>
      <c r="AE110" s="160">
        <f t="shared" si="85"/>
        <v>-53187</v>
      </c>
      <c r="AF110" s="160">
        <f t="shared" si="85"/>
        <v>-24127</v>
      </c>
      <c r="AG110" s="160">
        <f t="shared" si="85"/>
        <v>-130855</v>
      </c>
      <c r="AH110" s="160">
        <f t="shared" si="85"/>
        <v>669</v>
      </c>
      <c r="AI110" s="160">
        <f t="shared" si="85"/>
        <v>9277</v>
      </c>
      <c r="AJ110" s="388" t="s">
        <v>694</v>
      </c>
      <c r="AK110" s="388" t="s">
        <v>694</v>
      </c>
      <c r="AL110" s="388" t="s">
        <v>694</v>
      </c>
      <c r="AN110" s="173"/>
      <c r="AO110" s="173"/>
    </row>
    <row r="111" spans="2:41">
      <c r="B111" s="462"/>
      <c r="C111" s="34"/>
      <c r="D111" s="35"/>
      <c r="E111" s="157"/>
      <c r="F111" s="157"/>
      <c r="G111" s="157"/>
      <c r="H111" s="157"/>
      <c r="I111" s="157"/>
      <c r="J111" s="157"/>
      <c r="K111" s="157"/>
      <c r="L111" s="157"/>
      <c r="M111" s="157"/>
      <c r="N111" s="157"/>
      <c r="O111" s="157"/>
      <c r="P111" s="170"/>
      <c r="R111" s="157"/>
      <c r="S111" s="157">
        <f t="shared" si="74"/>
        <v>0</v>
      </c>
      <c r="T111" s="157"/>
      <c r="U111" s="157"/>
      <c r="V111" s="157"/>
      <c r="W111" s="157"/>
      <c r="X111" s="157"/>
      <c r="Y111" s="157"/>
      <c r="Z111" s="157"/>
      <c r="AA111" s="157"/>
      <c r="AB111" s="157"/>
      <c r="AC111" s="157"/>
      <c r="AD111" s="157"/>
      <c r="AE111" s="157"/>
      <c r="AF111" s="157"/>
      <c r="AG111" s="157">
        <v>0</v>
      </c>
      <c r="AH111" s="157"/>
      <c r="AI111" s="157">
        <v>0</v>
      </c>
      <c r="AJ111" s="389"/>
      <c r="AK111" s="389"/>
      <c r="AL111" s="389"/>
      <c r="AN111" s="173"/>
      <c r="AO111" s="173"/>
    </row>
    <row r="112" spans="2:41">
      <c r="B112" s="462"/>
      <c r="C112" s="34"/>
      <c r="D112" s="63" t="s">
        <v>612</v>
      </c>
      <c r="E112" s="156">
        <v>30639</v>
      </c>
      <c r="F112" s="156">
        <v>7180</v>
      </c>
      <c r="G112" s="156">
        <v>20714</v>
      </c>
      <c r="H112" s="156">
        <v>29600</v>
      </c>
      <c r="I112" s="156">
        <v>27780</v>
      </c>
      <c r="J112" s="156">
        <v>12706</v>
      </c>
      <c r="K112" s="156">
        <v>6768</v>
      </c>
      <c r="L112" s="156">
        <v>2073</v>
      </c>
      <c r="M112" s="156">
        <v>4637</v>
      </c>
      <c r="N112" s="156">
        <v>1716</v>
      </c>
      <c r="O112" s="156">
        <v>1405</v>
      </c>
      <c r="P112" s="366" t="s">
        <v>694</v>
      </c>
      <c r="R112" s="156">
        <v>6962</v>
      </c>
      <c r="S112" s="156">
        <f t="shared" si="74"/>
        <v>13752</v>
      </c>
      <c r="T112" s="156">
        <v>6799</v>
      </c>
      <c r="U112" s="156">
        <f>H112-T112</f>
        <v>22801</v>
      </c>
      <c r="V112" s="156">
        <v>17357</v>
      </c>
      <c r="W112" s="156">
        <f>I112-V112</f>
        <v>10423</v>
      </c>
      <c r="X112" s="156">
        <v>4749</v>
      </c>
      <c r="Y112" s="156">
        <f>J112-X112</f>
        <v>7957</v>
      </c>
      <c r="Z112" s="156">
        <v>3864</v>
      </c>
      <c r="AA112" s="156">
        <f>K112-Z112</f>
        <v>2904</v>
      </c>
      <c r="AB112" s="156">
        <v>2073</v>
      </c>
      <c r="AC112" s="156">
        <f>L112-AB112</f>
        <v>0</v>
      </c>
      <c r="AD112" s="156">
        <v>2725</v>
      </c>
      <c r="AE112" s="156">
        <f>M112-AD112</f>
        <v>1912</v>
      </c>
      <c r="AF112" s="156">
        <v>823</v>
      </c>
      <c r="AG112" s="156">
        <v>893</v>
      </c>
      <c r="AH112" s="156">
        <v>403</v>
      </c>
      <c r="AI112" s="156">
        <v>1002</v>
      </c>
      <c r="AJ112" s="445" t="s">
        <v>694</v>
      </c>
      <c r="AK112" s="445" t="s">
        <v>694</v>
      </c>
      <c r="AL112" s="445" t="s">
        <v>694</v>
      </c>
      <c r="AN112" s="173"/>
      <c r="AO112" s="173"/>
    </row>
    <row r="113" spans="2:41">
      <c r="B113" s="462"/>
      <c r="C113" s="34"/>
      <c r="D113" s="36"/>
      <c r="E113" s="155"/>
      <c r="F113" s="155"/>
      <c r="G113" s="155"/>
      <c r="H113" s="155"/>
      <c r="I113" s="155"/>
      <c r="J113" s="155"/>
      <c r="K113" s="155"/>
      <c r="L113" s="155"/>
      <c r="M113" s="155"/>
      <c r="N113" s="155"/>
      <c r="O113" s="155"/>
      <c r="P113" s="171"/>
      <c r="R113" s="155"/>
      <c r="S113" s="155">
        <f t="shared" si="74"/>
        <v>0</v>
      </c>
      <c r="T113" s="155"/>
      <c r="U113" s="155"/>
      <c r="V113" s="155"/>
      <c r="W113" s="155"/>
      <c r="X113" s="155"/>
      <c r="Y113" s="155"/>
      <c r="Z113" s="155"/>
      <c r="AA113" s="155"/>
      <c r="AB113" s="155"/>
      <c r="AC113" s="155"/>
      <c r="AD113" s="155"/>
      <c r="AE113" s="155"/>
      <c r="AF113" s="155"/>
      <c r="AG113" s="155"/>
      <c r="AH113" s="155"/>
      <c r="AI113" s="155"/>
      <c r="AJ113" s="216"/>
      <c r="AK113" s="216"/>
      <c r="AL113" s="216"/>
      <c r="AN113" s="173"/>
      <c r="AO113" s="173"/>
    </row>
    <row r="114" spans="2:41">
      <c r="B114" s="462"/>
      <c r="C114" s="34"/>
      <c r="D114" s="36" t="s">
        <v>613</v>
      </c>
      <c r="E114" s="155">
        <v>260032</v>
      </c>
      <c r="F114" s="155">
        <v>256213</v>
      </c>
      <c r="G114" s="155">
        <v>241811</v>
      </c>
      <c r="H114" s="155">
        <v>242931</v>
      </c>
      <c r="I114" s="155">
        <v>255053</v>
      </c>
      <c r="J114" s="155">
        <v>256040</v>
      </c>
      <c r="K114" s="155">
        <v>206985</v>
      </c>
      <c r="L114" s="155">
        <v>171912</v>
      </c>
      <c r="M114" s="155">
        <v>152181</v>
      </c>
      <c r="N114" s="155">
        <v>10517</v>
      </c>
      <c r="O114" s="155">
        <v>18958</v>
      </c>
      <c r="P114" s="171" t="s">
        <v>694</v>
      </c>
      <c r="R114" s="155">
        <v>216352</v>
      </c>
      <c r="S114" s="155">
        <f>G114</f>
        <v>241811</v>
      </c>
      <c r="T114" s="155">
        <v>259050</v>
      </c>
      <c r="U114" s="155">
        <f>H114</f>
        <v>242931</v>
      </c>
      <c r="V114" s="155">
        <v>242985</v>
      </c>
      <c r="W114" s="155">
        <f>I114</f>
        <v>255053</v>
      </c>
      <c r="X114" s="155">
        <v>246471</v>
      </c>
      <c r="Y114" s="155">
        <f>J114</f>
        <v>256040</v>
      </c>
      <c r="Z114" s="155">
        <v>243494</v>
      </c>
      <c r="AA114" s="155">
        <f>K114</f>
        <v>206985</v>
      </c>
      <c r="AB114" s="155">
        <v>182802</v>
      </c>
      <c r="AC114" s="155">
        <f>L114</f>
        <v>171912</v>
      </c>
      <c r="AD114" s="155">
        <v>168084</v>
      </c>
      <c r="AE114" s="155">
        <f>M114</f>
        <v>152181</v>
      </c>
      <c r="AF114" s="155">
        <v>133836</v>
      </c>
      <c r="AG114" s="155">
        <f>N114</f>
        <v>10517</v>
      </c>
      <c r="AH114" s="155">
        <v>8570</v>
      </c>
      <c r="AI114" s="155">
        <f>O114</f>
        <v>18958</v>
      </c>
      <c r="AJ114" s="216" t="s">
        <v>694</v>
      </c>
      <c r="AK114" s="216" t="s">
        <v>694</v>
      </c>
      <c r="AL114" s="216" t="s">
        <v>694</v>
      </c>
      <c r="AN114" s="173"/>
      <c r="AO114" s="173"/>
    </row>
    <row r="115" spans="2:41">
      <c r="B115" s="462"/>
      <c r="C115" s="34"/>
      <c r="D115" s="36" t="s">
        <v>22</v>
      </c>
      <c r="E115" s="155">
        <v>0</v>
      </c>
      <c r="F115" s="155">
        <v>0</v>
      </c>
      <c r="G115" s="155">
        <v>0</v>
      </c>
      <c r="H115" s="155">
        <v>0</v>
      </c>
      <c r="I115" s="155">
        <v>0</v>
      </c>
      <c r="J115" s="155">
        <v>0</v>
      </c>
      <c r="K115" s="155">
        <v>0</v>
      </c>
      <c r="L115" s="155">
        <v>0</v>
      </c>
      <c r="M115" s="155">
        <v>0</v>
      </c>
      <c r="N115" s="155">
        <v>0</v>
      </c>
      <c r="O115" s="155">
        <v>0</v>
      </c>
      <c r="P115" s="171" t="s">
        <v>694</v>
      </c>
      <c r="R115" s="155">
        <v>0</v>
      </c>
      <c r="S115" s="155">
        <f t="shared" ref="S115:S127" si="86">G115</f>
        <v>0</v>
      </c>
      <c r="T115" s="155">
        <v>0</v>
      </c>
      <c r="U115" s="155">
        <f t="shared" ref="U115:U127" si="87">H115</f>
        <v>0</v>
      </c>
      <c r="V115" s="155">
        <v>0</v>
      </c>
      <c r="W115" s="155">
        <f t="shared" ref="W115:W127" si="88">I115</f>
        <v>0</v>
      </c>
      <c r="X115" s="155">
        <v>0</v>
      </c>
      <c r="Y115" s="155">
        <f t="shared" ref="Y115:Y127" si="89">J115</f>
        <v>0</v>
      </c>
      <c r="Z115" s="155">
        <v>0</v>
      </c>
      <c r="AA115" s="155">
        <f t="shared" ref="AA115:AA127" si="90">K115</f>
        <v>0</v>
      </c>
      <c r="AB115" s="155">
        <v>0</v>
      </c>
      <c r="AC115" s="155">
        <f t="shared" ref="AC115:AC127" si="91">L115</f>
        <v>0</v>
      </c>
      <c r="AD115" s="155">
        <v>0</v>
      </c>
      <c r="AE115" s="155">
        <f t="shared" ref="AE115:AE127" si="92">M115</f>
        <v>0</v>
      </c>
      <c r="AF115" s="155">
        <v>0</v>
      </c>
      <c r="AG115" s="155">
        <f t="shared" ref="AG115:AG127" si="93">N115</f>
        <v>0</v>
      </c>
      <c r="AH115" s="155">
        <v>0</v>
      </c>
      <c r="AI115" s="155">
        <f t="shared" ref="AI115:AI127" si="94">O115</f>
        <v>0</v>
      </c>
      <c r="AJ115" s="216" t="s">
        <v>694</v>
      </c>
      <c r="AK115" s="216" t="s">
        <v>694</v>
      </c>
      <c r="AL115" s="216" t="s">
        <v>694</v>
      </c>
      <c r="AN115" s="173"/>
      <c r="AO115" s="173"/>
    </row>
    <row r="116" spans="2:41">
      <c r="B116" s="462"/>
      <c r="C116" s="34"/>
      <c r="D116" s="36" t="s">
        <v>21</v>
      </c>
      <c r="E116" s="155">
        <v>0</v>
      </c>
      <c r="F116" s="155">
        <v>0</v>
      </c>
      <c r="G116" s="155">
        <v>0</v>
      </c>
      <c r="H116" s="155">
        <v>0</v>
      </c>
      <c r="I116" s="155">
        <v>0</v>
      </c>
      <c r="J116" s="155">
        <v>72884</v>
      </c>
      <c r="K116" s="155">
        <v>63144</v>
      </c>
      <c r="L116" s="155">
        <v>55758</v>
      </c>
      <c r="M116" s="155">
        <v>236</v>
      </c>
      <c r="N116" s="155">
        <v>219</v>
      </c>
      <c r="O116" s="155">
        <v>115</v>
      </c>
      <c r="P116" s="171" t="s">
        <v>694</v>
      </c>
      <c r="R116" s="155">
        <v>0</v>
      </c>
      <c r="S116" s="155">
        <f t="shared" si="86"/>
        <v>0</v>
      </c>
      <c r="T116" s="155">
        <v>0</v>
      </c>
      <c r="U116" s="155">
        <f t="shared" si="87"/>
        <v>0</v>
      </c>
      <c r="V116" s="155">
        <v>0</v>
      </c>
      <c r="W116" s="155">
        <f t="shared" si="88"/>
        <v>0</v>
      </c>
      <c r="X116" s="155">
        <v>0</v>
      </c>
      <c r="Y116" s="155">
        <f t="shared" si="89"/>
        <v>72884</v>
      </c>
      <c r="Z116" s="155">
        <v>71541</v>
      </c>
      <c r="AA116" s="155">
        <f t="shared" si="90"/>
        <v>63144</v>
      </c>
      <c r="AB116" s="155">
        <v>57745</v>
      </c>
      <c r="AC116" s="155">
        <f t="shared" si="91"/>
        <v>55758</v>
      </c>
      <c r="AD116" s="155">
        <v>55785</v>
      </c>
      <c r="AE116" s="155">
        <f t="shared" si="92"/>
        <v>236</v>
      </c>
      <c r="AF116" s="155">
        <v>236</v>
      </c>
      <c r="AG116" s="155">
        <f t="shared" si="93"/>
        <v>219</v>
      </c>
      <c r="AH116" s="155">
        <v>166</v>
      </c>
      <c r="AI116" s="155">
        <f t="shared" si="94"/>
        <v>115</v>
      </c>
      <c r="AJ116" s="216" t="s">
        <v>694</v>
      </c>
      <c r="AK116" s="216" t="s">
        <v>694</v>
      </c>
      <c r="AL116" s="216" t="s">
        <v>694</v>
      </c>
      <c r="AN116" s="173"/>
      <c r="AO116" s="173"/>
    </row>
    <row r="117" spans="2:41">
      <c r="B117" s="462"/>
      <c r="C117" s="34"/>
      <c r="D117" s="36" t="s">
        <v>614</v>
      </c>
      <c r="E117" s="155">
        <v>115717</v>
      </c>
      <c r="F117" s="155">
        <v>85374</v>
      </c>
      <c r="G117" s="155">
        <v>77333</v>
      </c>
      <c r="H117" s="155">
        <v>72891</v>
      </c>
      <c r="I117" s="155">
        <v>72157</v>
      </c>
      <c r="J117" s="155">
        <v>0</v>
      </c>
      <c r="K117" s="155">
        <v>0</v>
      </c>
      <c r="L117" s="155">
        <v>0</v>
      </c>
      <c r="M117" s="155">
        <v>0</v>
      </c>
      <c r="N117" s="155">
        <v>0</v>
      </c>
      <c r="O117" s="155">
        <v>0</v>
      </c>
      <c r="P117" s="171" t="s">
        <v>694</v>
      </c>
      <c r="R117" s="155">
        <v>71497</v>
      </c>
      <c r="S117" s="155">
        <f t="shared" si="86"/>
        <v>77333</v>
      </c>
      <c r="T117" s="155">
        <v>82540</v>
      </c>
      <c r="U117" s="155">
        <f t="shared" si="87"/>
        <v>72891</v>
      </c>
      <c r="V117" s="155">
        <v>69900</v>
      </c>
      <c r="W117" s="155">
        <f t="shared" si="88"/>
        <v>72157</v>
      </c>
      <c r="X117" s="155">
        <v>70368</v>
      </c>
      <c r="Y117" s="155">
        <f t="shared" si="89"/>
        <v>0</v>
      </c>
      <c r="Z117" s="155">
        <v>0</v>
      </c>
      <c r="AA117" s="155">
        <f t="shared" si="90"/>
        <v>0</v>
      </c>
      <c r="AB117" s="155">
        <v>0</v>
      </c>
      <c r="AC117" s="155">
        <f t="shared" si="91"/>
        <v>0</v>
      </c>
      <c r="AD117" s="155">
        <v>0</v>
      </c>
      <c r="AE117" s="155">
        <f t="shared" si="92"/>
        <v>0</v>
      </c>
      <c r="AF117" s="155">
        <v>1</v>
      </c>
      <c r="AG117" s="155">
        <f t="shared" si="93"/>
        <v>0</v>
      </c>
      <c r="AH117" s="155">
        <v>0</v>
      </c>
      <c r="AI117" s="155">
        <f t="shared" si="94"/>
        <v>0</v>
      </c>
      <c r="AJ117" s="216" t="s">
        <v>694</v>
      </c>
      <c r="AK117" s="216" t="s">
        <v>694</v>
      </c>
      <c r="AL117" s="216" t="s">
        <v>694</v>
      </c>
      <c r="AN117" s="173"/>
      <c r="AO117" s="173"/>
    </row>
    <row r="118" spans="2:41">
      <c r="B118" s="462"/>
      <c r="C118" s="34"/>
      <c r="D118" s="36" t="s">
        <v>28</v>
      </c>
      <c r="E118" s="155">
        <v>233</v>
      </c>
      <c r="F118" s="155">
        <v>202</v>
      </c>
      <c r="G118" s="155">
        <v>2243</v>
      </c>
      <c r="H118" s="155">
        <v>2271</v>
      </c>
      <c r="I118" s="155">
        <v>2423</v>
      </c>
      <c r="J118" s="155">
        <v>2586</v>
      </c>
      <c r="K118" s="155">
        <f>2316</f>
        <v>2316</v>
      </c>
      <c r="L118" s="155">
        <v>2304</v>
      </c>
      <c r="M118" s="155">
        <v>1831</v>
      </c>
      <c r="N118" s="155">
        <v>1928</v>
      </c>
      <c r="O118" s="155">
        <v>1967</v>
      </c>
      <c r="P118" s="171" t="s">
        <v>694</v>
      </c>
      <c r="R118" s="155">
        <v>2051</v>
      </c>
      <c r="S118" s="155">
        <f t="shared" si="86"/>
        <v>2243</v>
      </c>
      <c r="T118" s="155">
        <v>2426</v>
      </c>
      <c r="U118" s="155">
        <f t="shared" si="87"/>
        <v>2271</v>
      </c>
      <c r="V118" s="155">
        <v>2209</v>
      </c>
      <c r="W118" s="155">
        <f t="shared" si="88"/>
        <v>2423</v>
      </c>
      <c r="X118" s="155">
        <v>2412</v>
      </c>
      <c r="Y118" s="155">
        <f t="shared" si="89"/>
        <v>2586</v>
      </c>
      <c r="Z118" s="155">
        <v>2646</v>
      </c>
      <c r="AA118" s="155">
        <f t="shared" si="90"/>
        <v>2316</v>
      </c>
      <c r="AB118" s="155">
        <v>2198</v>
      </c>
      <c r="AC118" s="155">
        <f t="shared" si="91"/>
        <v>2304</v>
      </c>
      <c r="AD118" s="155">
        <v>1789</v>
      </c>
      <c r="AE118" s="155">
        <f t="shared" si="92"/>
        <v>1831</v>
      </c>
      <c r="AF118" s="155">
        <v>2089</v>
      </c>
      <c r="AG118" s="155">
        <f t="shared" si="93"/>
        <v>1928</v>
      </c>
      <c r="AH118" s="155">
        <v>2153</v>
      </c>
      <c r="AI118" s="155">
        <f t="shared" si="94"/>
        <v>1967</v>
      </c>
      <c r="AJ118" s="216" t="s">
        <v>694</v>
      </c>
      <c r="AK118" s="216" t="s">
        <v>694</v>
      </c>
      <c r="AL118" s="216" t="s">
        <v>694</v>
      </c>
      <c r="AN118" s="173"/>
      <c r="AO118" s="173"/>
    </row>
    <row r="119" spans="2:41">
      <c r="B119" s="462"/>
      <c r="C119" s="34"/>
      <c r="D119" s="36" t="s">
        <v>724</v>
      </c>
      <c r="E119" s="155">
        <v>10851</v>
      </c>
      <c r="F119" s="155">
        <v>13845</v>
      </c>
      <c r="G119" s="155">
        <v>55333</v>
      </c>
      <c r="H119" s="155">
        <v>23057</v>
      </c>
      <c r="I119" s="155">
        <v>46536</v>
      </c>
      <c r="J119" s="155">
        <v>42938</v>
      </c>
      <c r="K119" s="155">
        <v>40826</v>
      </c>
      <c r="L119" s="155">
        <v>26947</v>
      </c>
      <c r="M119" s="155">
        <v>24577</v>
      </c>
      <c r="N119" s="155">
        <v>15417</v>
      </c>
      <c r="O119" s="155">
        <v>10527</v>
      </c>
      <c r="P119" s="171" t="s">
        <v>694</v>
      </c>
      <c r="R119" s="155">
        <v>13246</v>
      </c>
      <c r="S119" s="155">
        <f t="shared" si="86"/>
        <v>55333</v>
      </c>
      <c r="T119" s="155">
        <v>13547</v>
      </c>
      <c r="U119" s="155">
        <f t="shared" si="87"/>
        <v>23057</v>
      </c>
      <c r="V119" s="155">
        <v>12377</v>
      </c>
      <c r="W119" s="155">
        <f t="shared" si="88"/>
        <v>46536</v>
      </c>
      <c r="X119" s="155">
        <v>22804</v>
      </c>
      <c r="Y119" s="155">
        <f t="shared" si="89"/>
        <v>42938</v>
      </c>
      <c r="Z119" s="155">
        <v>17822</v>
      </c>
      <c r="AA119" s="155">
        <f t="shared" si="90"/>
        <v>40826</v>
      </c>
      <c r="AB119" s="155">
        <v>10827</v>
      </c>
      <c r="AC119" s="155">
        <f t="shared" si="91"/>
        <v>26947</v>
      </c>
      <c r="AD119" s="155">
        <v>6261</v>
      </c>
      <c r="AE119" s="155">
        <f t="shared" si="92"/>
        <v>24577</v>
      </c>
      <c r="AF119" s="155">
        <v>4856</v>
      </c>
      <c r="AG119" s="155">
        <f t="shared" si="93"/>
        <v>15417</v>
      </c>
      <c r="AH119" s="155">
        <v>3687</v>
      </c>
      <c r="AI119" s="155">
        <f t="shared" si="94"/>
        <v>10527</v>
      </c>
      <c r="AJ119" s="216" t="s">
        <v>694</v>
      </c>
      <c r="AK119" s="216" t="s">
        <v>694</v>
      </c>
      <c r="AL119" s="216" t="s">
        <v>694</v>
      </c>
      <c r="AN119" s="173"/>
      <c r="AO119" s="173"/>
    </row>
    <row r="120" spans="2:41">
      <c r="B120" s="462"/>
      <c r="C120" s="34"/>
      <c r="D120" s="36" t="s">
        <v>616</v>
      </c>
      <c r="E120" s="155">
        <v>4572</v>
      </c>
      <c r="F120" s="155">
        <v>2100</v>
      </c>
      <c r="G120" s="155">
        <v>1871</v>
      </c>
      <c r="H120" s="155">
        <v>1567</v>
      </c>
      <c r="I120" s="155">
        <v>6802</v>
      </c>
      <c r="J120" s="155">
        <v>3115</v>
      </c>
      <c r="K120" s="155">
        <v>4687</v>
      </c>
      <c r="L120" s="155">
        <v>4248</v>
      </c>
      <c r="M120" s="155">
        <v>4103</v>
      </c>
      <c r="N120" s="155">
        <v>3487</v>
      </c>
      <c r="O120" s="155">
        <v>2398</v>
      </c>
      <c r="P120" s="171" t="s">
        <v>694</v>
      </c>
      <c r="R120" s="155">
        <v>20217</v>
      </c>
      <c r="S120" s="155">
        <f t="shared" si="86"/>
        <v>1871</v>
      </c>
      <c r="T120" s="155">
        <v>8485</v>
      </c>
      <c r="U120" s="155">
        <f t="shared" si="87"/>
        <v>1567</v>
      </c>
      <c r="V120" s="155">
        <v>31269</v>
      </c>
      <c r="W120" s="155">
        <f t="shared" si="88"/>
        <v>6802</v>
      </c>
      <c r="X120" s="155">
        <v>20872</v>
      </c>
      <c r="Y120" s="155">
        <f t="shared" si="89"/>
        <v>3115</v>
      </c>
      <c r="Z120" s="155">
        <v>22214</v>
      </c>
      <c r="AA120" s="155">
        <f t="shared" si="90"/>
        <v>4687</v>
      </c>
      <c r="AB120" s="155">
        <v>21547</v>
      </c>
      <c r="AC120" s="155">
        <f t="shared" si="91"/>
        <v>4248</v>
      </c>
      <c r="AD120" s="155">
        <v>21713</v>
      </c>
      <c r="AE120" s="155">
        <f t="shared" si="92"/>
        <v>4103</v>
      </c>
      <c r="AF120" s="155">
        <v>13333</v>
      </c>
      <c r="AG120" s="155">
        <f t="shared" si="93"/>
        <v>3487</v>
      </c>
      <c r="AH120" s="155">
        <v>11471</v>
      </c>
      <c r="AI120" s="155">
        <f t="shared" si="94"/>
        <v>2398</v>
      </c>
      <c r="AJ120" s="216" t="s">
        <v>694</v>
      </c>
      <c r="AK120" s="216" t="s">
        <v>694</v>
      </c>
      <c r="AL120" s="216" t="s">
        <v>694</v>
      </c>
      <c r="AN120" s="173"/>
      <c r="AO120" s="173"/>
    </row>
    <row r="121" spans="2:41">
      <c r="B121" s="462"/>
      <c r="C121" s="34"/>
      <c r="D121" s="32" t="s">
        <v>617</v>
      </c>
      <c r="E121" s="160">
        <f t="shared" ref="E121:N121" si="95">SUM(E114:E120)</f>
        <v>391405</v>
      </c>
      <c r="F121" s="160">
        <f t="shared" si="95"/>
        <v>357734</v>
      </c>
      <c r="G121" s="160">
        <f t="shared" si="95"/>
        <v>378591</v>
      </c>
      <c r="H121" s="160">
        <f t="shared" si="95"/>
        <v>342717</v>
      </c>
      <c r="I121" s="160">
        <f t="shared" si="95"/>
        <v>382971</v>
      </c>
      <c r="J121" s="160">
        <f t="shared" si="95"/>
        <v>377563</v>
      </c>
      <c r="K121" s="160">
        <f t="shared" si="95"/>
        <v>317958</v>
      </c>
      <c r="L121" s="160">
        <f t="shared" si="95"/>
        <v>261169</v>
      </c>
      <c r="M121" s="160">
        <f t="shared" si="95"/>
        <v>182928</v>
      </c>
      <c r="N121" s="160">
        <f t="shared" si="95"/>
        <v>31568</v>
      </c>
      <c r="O121" s="160">
        <f>SUM(O114:O120)</f>
        <v>33965</v>
      </c>
      <c r="P121" s="350" t="s">
        <v>694</v>
      </c>
      <c r="R121" s="160">
        <v>323363</v>
      </c>
      <c r="S121" s="160">
        <f t="shared" si="86"/>
        <v>378591</v>
      </c>
      <c r="T121" s="160">
        <f t="shared" ref="T121:AH121" si="96">SUM(T114:T120)</f>
        <v>366048</v>
      </c>
      <c r="U121" s="160">
        <f t="shared" si="87"/>
        <v>342717</v>
      </c>
      <c r="V121" s="160">
        <v>358740</v>
      </c>
      <c r="W121" s="160">
        <f t="shared" si="88"/>
        <v>382971</v>
      </c>
      <c r="X121" s="160">
        <v>362927</v>
      </c>
      <c r="Y121" s="160">
        <f t="shared" si="89"/>
        <v>377563</v>
      </c>
      <c r="Z121" s="160">
        <v>357717</v>
      </c>
      <c r="AA121" s="160">
        <f t="shared" si="90"/>
        <v>317958</v>
      </c>
      <c r="AB121" s="160">
        <f t="shared" si="96"/>
        <v>275119</v>
      </c>
      <c r="AC121" s="160">
        <f t="shared" si="91"/>
        <v>261169</v>
      </c>
      <c r="AD121" s="160">
        <f t="shared" si="96"/>
        <v>253632</v>
      </c>
      <c r="AE121" s="160">
        <f t="shared" si="92"/>
        <v>182928</v>
      </c>
      <c r="AF121" s="160">
        <f t="shared" si="96"/>
        <v>154351</v>
      </c>
      <c r="AG121" s="160">
        <f t="shared" si="93"/>
        <v>31568</v>
      </c>
      <c r="AH121" s="160">
        <f t="shared" si="96"/>
        <v>26047</v>
      </c>
      <c r="AI121" s="160">
        <f t="shared" si="94"/>
        <v>33965</v>
      </c>
      <c r="AJ121" s="388" t="s">
        <v>694</v>
      </c>
      <c r="AK121" s="388" t="s">
        <v>694</v>
      </c>
      <c r="AL121" s="388" t="s">
        <v>694</v>
      </c>
      <c r="AN121" s="173"/>
      <c r="AO121" s="173"/>
    </row>
    <row r="122" spans="2:41">
      <c r="B122" s="462"/>
      <c r="C122" s="34"/>
      <c r="D122" s="36" t="s">
        <v>618</v>
      </c>
      <c r="E122" s="155">
        <v>178323</v>
      </c>
      <c r="F122" s="155">
        <v>71379</v>
      </c>
      <c r="G122" s="155">
        <v>12974</v>
      </c>
      <c r="H122" s="155">
        <v>3938</v>
      </c>
      <c r="I122" s="155">
        <v>3863</v>
      </c>
      <c r="J122" s="155">
        <v>71424</v>
      </c>
      <c r="K122" s="155">
        <v>43473</v>
      </c>
      <c r="L122" s="155">
        <v>12052</v>
      </c>
      <c r="M122" s="155">
        <v>2628</v>
      </c>
      <c r="N122" s="155">
        <v>5648</v>
      </c>
      <c r="O122" s="155">
        <v>2575</v>
      </c>
      <c r="P122" s="171" t="s">
        <v>694</v>
      </c>
      <c r="R122" s="155">
        <v>41955</v>
      </c>
      <c r="S122" s="155">
        <f t="shared" si="86"/>
        <v>12974</v>
      </c>
      <c r="T122" s="155">
        <v>105845</v>
      </c>
      <c r="U122" s="155">
        <f t="shared" si="87"/>
        <v>3938</v>
      </c>
      <c r="V122" s="155">
        <v>3772</v>
      </c>
      <c r="W122" s="155">
        <f t="shared" si="88"/>
        <v>3863</v>
      </c>
      <c r="X122" s="155">
        <v>78202</v>
      </c>
      <c r="Y122" s="155">
        <f t="shared" si="89"/>
        <v>71424</v>
      </c>
      <c r="Z122" s="155">
        <v>59821</v>
      </c>
      <c r="AA122" s="155">
        <f t="shared" si="90"/>
        <v>43473</v>
      </c>
      <c r="AB122" s="155">
        <v>19363</v>
      </c>
      <c r="AC122" s="155">
        <f t="shared" si="91"/>
        <v>12052</v>
      </c>
      <c r="AD122" s="155">
        <v>5355</v>
      </c>
      <c r="AE122" s="155">
        <f t="shared" si="92"/>
        <v>2628</v>
      </c>
      <c r="AF122" s="155">
        <v>7223</v>
      </c>
      <c r="AG122" s="155">
        <f t="shared" si="93"/>
        <v>5648</v>
      </c>
      <c r="AH122" s="155">
        <v>3384</v>
      </c>
      <c r="AI122" s="155">
        <f t="shared" si="94"/>
        <v>2575</v>
      </c>
      <c r="AJ122" s="216" t="s">
        <v>694</v>
      </c>
      <c r="AK122" s="216" t="s">
        <v>694</v>
      </c>
      <c r="AL122" s="216" t="s">
        <v>694</v>
      </c>
      <c r="AN122" s="173"/>
      <c r="AO122" s="173"/>
    </row>
    <row r="123" spans="2:41">
      <c r="B123" s="462"/>
      <c r="C123" s="34"/>
      <c r="D123" s="36" t="s">
        <v>619</v>
      </c>
      <c r="E123" s="155"/>
      <c r="F123" s="155"/>
      <c r="G123" s="155"/>
      <c r="H123" s="155">
        <v>42736</v>
      </c>
      <c r="I123" s="155">
        <v>13880</v>
      </c>
      <c r="J123" s="155"/>
      <c r="K123" s="155">
        <v>0</v>
      </c>
      <c r="L123" s="155">
        <v>1957</v>
      </c>
      <c r="M123" s="155"/>
      <c r="N123" s="155">
        <v>0</v>
      </c>
      <c r="O123" s="155">
        <v>0</v>
      </c>
      <c r="P123" s="171" t="s">
        <v>694</v>
      </c>
      <c r="R123" s="155"/>
      <c r="S123" s="155">
        <f t="shared" si="86"/>
        <v>0</v>
      </c>
      <c r="T123" s="155">
        <v>32102</v>
      </c>
      <c r="U123" s="155">
        <f t="shared" si="87"/>
        <v>42736</v>
      </c>
      <c r="V123" s="155">
        <v>54079</v>
      </c>
      <c r="W123" s="155">
        <f t="shared" si="88"/>
        <v>13880</v>
      </c>
      <c r="X123" s="155">
        <v>8878</v>
      </c>
      <c r="Y123" s="155">
        <f t="shared" si="89"/>
        <v>0</v>
      </c>
      <c r="Z123" s="155">
        <v>2463</v>
      </c>
      <c r="AA123" s="155">
        <f t="shared" si="90"/>
        <v>0</v>
      </c>
      <c r="AB123" s="155"/>
      <c r="AC123" s="155">
        <f t="shared" si="91"/>
        <v>1957</v>
      </c>
      <c r="AD123" s="155">
        <v>3877</v>
      </c>
      <c r="AE123" s="155">
        <f t="shared" si="92"/>
        <v>0</v>
      </c>
      <c r="AF123" s="155">
        <v>0</v>
      </c>
      <c r="AG123" s="155">
        <f t="shared" si="93"/>
        <v>0</v>
      </c>
      <c r="AH123" s="155">
        <v>0</v>
      </c>
      <c r="AI123" s="155">
        <f t="shared" si="94"/>
        <v>0</v>
      </c>
      <c r="AJ123" s="216" t="s">
        <v>694</v>
      </c>
      <c r="AK123" s="216" t="s">
        <v>694</v>
      </c>
      <c r="AL123" s="216" t="s">
        <v>694</v>
      </c>
      <c r="AN123" s="173"/>
      <c r="AO123" s="173"/>
    </row>
    <row r="124" spans="2:41">
      <c r="B124" s="462"/>
      <c r="C124" s="34"/>
      <c r="D124" s="36" t="s">
        <v>44</v>
      </c>
      <c r="E124" s="155">
        <v>9833</v>
      </c>
      <c r="F124" s="155">
        <v>15790</v>
      </c>
      <c r="G124" s="155">
        <v>17124</v>
      </c>
      <c r="H124" s="155">
        <v>17911</v>
      </c>
      <c r="I124" s="155">
        <v>17588</v>
      </c>
      <c r="J124" s="155">
        <v>40951</v>
      </c>
      <c r="K124" s="155">
        <v>27154</v>
      </c>
      <c r="L124" s="155">
        <v>21051</v>
      </c>
      <c r="M124" s="155">
        <v>19489</v>
      </c>
      <c r="N124" s="155">
        <v>7209</v>
      </c>
      <c r="O124" s="155">
        <v>5624</v>
      </c>
      <c r="P124" s="171" t="s">
        <v>694</v>
      </c>
      <c r="R124" s="155">
        <v>10673</v>
      </c>
      <c r="S124" s="155">
        <f t="shared" si="86"/>
        <v>17124</v>
      </c>
      <c r="T124" s="155">
        <v>13061</v>
      </c>
      <c r="U124" s="155">
        <f t="shared" si="87"/>
        <v>17911</v>
      </c>
      <c r="V124" s="155">
        <v>12847</v>
      </c>
      <c r="W124" s="155">
        <f t="shared" si="88"/>
        <v>17588</v>
      </c>
      <c r="X124" s="155">
        <v>46838</v>
      </c>
      <c r="Y124" s="155">
        <f t="shared" si="89"/>
        <v>40951</v>
      </c>
      <c r="Z124" s="155">
        <v>26095</v>
      </c>
      <c r="AA124" s="155">
        <f t="shared" si="90"/>
        <v>27154</v>
      </c>
      <c r="AB124" s="155">
        <v>23384</v>
      </c>
      <c r="AC124" s="155">
        <f t="shared" si="91"/>
        <v>21051</v>
      </c>
      <c r="AD124" s="155">
        <v>15364</v>
      </c>
      <c r="AE124" s="155">
        <f t="shared" si="92"/>
        <v>19489</v>
      </c>
      <c r="AF124" s="155">
        <v>5385</v>
      </c>
      <c r="AG124" s="155">
        <f t="shared" si="93"/>
        <v>7209</v>
      </c>
      <c r="AH124" s="155">
        <v>4651</v>
      </c>
      <c r="AI124" s="155">
        <f t="shared" si="94"/>
        <v>5624</v>
      </c>
      <c r="AJ124" s="216" t="s">
        <v>694</v>
      </c>
      <c r="AK124" s="216" t="s">
        <v>694</v>
      </c>
      <c r="AL124" s="216" t="s">
        <v>694</v>
      </c>
      <c r="AN124" s="173"/>
      <c r="AO124" s="173"/>
    </row>
    <row r="125" spans="2:41">
      <c r="B125" s="462"/>
      <c r="C125" s="34"/>
      <c r="D125" s="36" t="s">
        <v>620</v>
      </c>
      <c r="E125" s="155">
        <v>10396</v>
      </c>
      <c r="F125" s="155">
        <v>17813</v>
      </c>
      <c r="G125" s="155">
        <v>5248</v>
      </c>
      <c r="H125" s="155">
        <v>58516</v>
      </c>
      <c r="I125" s="155">
        <v>153</v>
      </c>
      <c r="J125" s="155">
        <v>22130</v>
      </c>
      <c r="K125" s="155">
        <v>19457</v>
      </c>
      <c r="L125" s="155">
        <v>13623</v>
      </c>
      <c r="M125" s="155">
        <v>9049</v>
      </c>
      <c r="N125" s="155">
        <v>3884</v>
      </c>
      <c r="O125" s="155">
        <v>2175</v>
      </c>
      <c r="P125" s="171" t="s">
        <v>694</v>
      </c>
      <c r="R125" s="155">
        <v>15236</v>
      </c>
      <c r="S125" s="155">
        <f t="shared" si="86"/>
        <v>5248</v>
      </c>
      <c r="T125" s="155">
        <v>5262</v>
      </c>
      <c r="U125" s="155">
        <f t="shared" si="87"/>
        <v>58516</v>
      </c>
      <c r="V125" s="155">
        <v>33070</v>
      </c>
      <c r="W125" s="155">
        <f t="shared" si="88"/>
        <v>153</v>
      </c>
      <c r="X125" s="155">
        <v>20982</v>
      </c>
      <c r="Y125" s="155">
        <f t="shared" si="89"/>
        <v>22130</v>
      </c>
      <c r="Z125" s="155">
        <v>21888</v>
      </c>
      <c r="AA125" s="155">
        <f t="shared" si="90"/>
        <v>19457</v>
      </c>
      <c r="AB125" s="155">
        <v>14021</v>
      </c>
      <c r="AC125" s="155">
        <f t="shared" si="91"/>
        <v>13623</v>
      </c>
      <c r="AD125" s="155">
        <v>13884</v>
      </c>
      <c r="AE125" s="155">
        <f t="shared" si="92"/>
        <v>9049</v>
      </c>
      <c r="AF125" s="155">
        <v>3632</v>
      </c>
      <c r="AG125" s="155">
        <f t="shared" si="93"/>
        <v>3884</v>
      </c>
      <c r="AH125" s="155">
        <v>2901</v>
      </c>
      <c r="AI125" s="155">
        <f t="shared" si="94"/>
        <v>2175</v>
      </c>
      <c r="AJ125" s="216" t="s">
        <v>694</v>
      </c>
      <c r="AK125" s="216" t="s">
        <v>694</v>
      </c>
      <c r="AL125" s="216" t="s">
        <v>694</v>
      </c>
      <c r="AN125" s="173"/>
      <c r="AO125" s="173"/>
    </row>
    <row r="126" spans="2:41">
      <c r="B126" s="462"/>
      <c r="C126" s="34"/>
      <c r="D126" s="36" t="s">
        <v>621</v>
      </c>
      <c r="E126" s="155"/>
      <c r="F126" s="155"/>
      <c r="G126" s="155"/>
      <c r="H126" s="155">
        <v>78</v>
      </c>
      <c r="I126" s="155">
        <v>131993</v>
      </c>
      <c r="J126" s="155">
        <v>5253</v>
      </c>
      <c r="K126" s="155">
        <v>2365</v>
      </c>
      <c r="L126" s="155">
        <v>2557</v>
      </c>
      <c r="M126" s="155">
        <v>2055</v>
      </c>
      <c r="N126" s="155">
        <v>0</v>
      </c>
      <c r="O126" s="155">
        <v>0</v>
      </c>
      <c r="P126" s="171" t="s">
        <v>694</v>
      </c>
      <c r="R126" s="155"/>
      <c r="S126" s="155">
        <f t="shared" si="86"/>
        <v>0</v>
      </c>
      <c r="T126" s="155">
        <v>0</v>
      </c>
      <c r="U126" s="155">
        <f t="shared" si="87"/>
        <v>78</v>
      </c>
      <c r="V126" s="155">
        <v>78</v>
      </c>
      <c r="W126" s="155">
        <f t="shared" si="88"/>
        <v>131993</v>
      </c>
      <c r="X126" s="155">
        <v>12361</v>
      </c>
      <c r="Y126" s="155">
        <f t="shared" si="89"/>
        <v>5253</v>
      </c>
      <c r="Z126" s="155">
        <v>2662</v>
      </c>
      <c r="AA126" s="155">
        <f t="shared" si="90"/>
        <v>2365</v>
      </c>
      <c r="AB126" s="155">
        <v>2180</v>
      </c>
      <c r="AC126" s="155">
        <f t="shared" si="91"/>
        <v>2557</v>
      </c>
      <c r="AD126" s="155">
        <v>2163</v>
      </c>
      <c r="AE126" s="155">
        <f t="shared" si="92"/>
        <v>2055</v>
      </c>
      <c r="AF126" s="155">
        <v>133</v>
      </c>
      <c r="AG126" s="155">
        <f t="shared" si="93"/>
        <v>0</v>
      </c>
      <c r="AH126" s="155">
        <v>0</v>
      </c>
      <c r="AI126" s="155">
        <f t="shared" si="94"/>
        <v>0</v>
      </c>
      <c r="AJ126" s="216" t="s">
        <v>694</v>
      </c>
      <c r="AK126" s="216" t="s">
        <v>694</v>
      </c>
      <c r="AL126" s="216" t="s">
        <v>694</v>
      </c>
      <c r="AN126" s="173"/>
      <c r="AO126" s="173"/>
    </row>
    <row r="127" spans="2:41">
      <c r="B127" s="462"/>
      <c r="C127" s="34"/>
      <c r="D127" s="32" t="s">
        <v>622</v>
      </c>
      <c r="E127" s="160">
        <f t="shared" ref="E127:N127" si="97">SUM(E122:E126)</f>
        <v>198552</v>
      </c>
      <c r="F127" s="160">
        <f t="shared" si="97"/>
        <v>104982</v>
      </c>
      <c r="G127" s="160">
        <f t="shared" si="97"/>
        <v>35346</v>
      </c>
      <c r="H127" s="160">
        <f t="shared" si="97"/>
        <v>123179</v>
      </c>
      <c r="I127" s="160">
        <f t="shared" si="97"/>
        <v>167477</v>
      </c>
      <c r="J127" s="160">
        <f t="shared" si="97"/>
        <v>139758</v>
      </c>
      <c r="K127" s="160">
        <f t="shared" si="97"/>
        <v>92449</v>
      </c>
      <c r="L127" s="160">
        <f t="shared" si="97"/>
        <v>51240</v>
      </c>
      <c r="M127" s="160">
        <f t="shared" si="97"/>
        <v>33221</v>
      </c>
      <c r="N127" s="160">
        <f t="shared" si="97"/>
        <v>16741</v>
      </c>
      <c r="O127" s="160">
        <f>SUM(O122:O126)</f>
        <v>10374</v>
      </c>
      <c r="P127" s="350" t="s">
        <v>694</v>
      </c>
      <c r="R127" s="160">
        <v>67864</v>
      </c>
      <c r="S127" s="160">
        <f t="shared" si="86"/>
        <v>35346</v>
      </c>
      <c r="T127" s="160">
        <f t="shared" ref="T127:AH127" si="98">SUM(T122:T126)</f>
        <v>156270</v>
      </c>
      <c r="U127" s="160">
        <f t="shared" si="87"/>
        <v>123179</v>
      </c>
      <c r="V127" s="160">
        <v>103846</v>
      </c>
      <c r="W127" s="160">
        <f t="shared" si="88"/>
        <v>167477</v>
      </c>
      <c r="X127" s="160">
        <v>167261</v>
      </c>
      <c r="Y127" s="160">
        <f t="shared" si="89"/>
        <v>139758</v>
      </c>
      <c r="Z127" s="160">
        <v>112929</v>
      </c>
      <c r="AA127" s="160">
        <f t="shared" si="90"/>
        <v>92449</v>
      </c>
      <c r="AB127" s="160">
        <f t="shared" si="98"/>
        <v>58948</v>
      </c>
      <c r="AC127" s="160">
        <f t="shared" si="91"/>
        <v>51240</v>
      </c>
      <c r="AD127" s="160">
        <f t="shared" si="98"/>
        <v>40643</v>
      </c>
      <c r="AE127" s="160">
        <f t="shared" si="92"/>
        <v>33221</v>
      </c>
      <c r="AF127" s="160">
        <f t="shared" si="98"/>
        <v>16373</v>
      </c>
      <c r="AG127" s="160">
        <f t="shared" si="93"/>
        <v>16741</v>
      </c>
      <c r="AH127" s="160">
        <f t="shared" si="98"/>
        <v>10936</v>
      </c>
      <c r="AI127" s="160">
        <f t="shared" si="94"/>
        <v>10374</v>
      </c>
      <c r="AJ127" s="388" t="s">
        <v>694</v>
      </c>
      <c r="AK127" s="388" t="s">
        <v>694</v>
      </c>
      <c r="AL127" s="388" t="s">
        <v>694</v>
      </c>
      <c r="AN127" s="173"/>
      <c r="AO127" s="173"/>
    </row>
    <row r="128" spans="2:41">
      <c r="B128" s="462"/>
      <c r="C128" s="34"/>
      <c r="D128" s="32" t="s">
        <v>15</v>
      </c>
      <c r="E128" s="160">
        <v>0</v>
      </c>
      <c r="F128" s="160">
        <v>0</v>
      </c>
      <c r="G128" s="160">
        <v>0</v>
      </c>
      <c r="H128" s="160">
        <v>0</v>
      </c>
      <c r="I128" s="160">
        <v>0</v>
      </c>
      <c r="J128" s="160">
        <v>0</v>
      </c>
      <c r="K128" s="160">
        <v>0</v>
      </c>
      <c r="L128" s="160">
        <v>0</v>
      </c>
      <c r="M128" s="160">
        <v>0</v>
      </c>
      <c r="N128" s="160">
        <v>0</v>
      </c>
      <c r="O128" s="160">
        <v>0</v>
      </c>
      <c r="P128" s="350" t="s">
        <v>694</v>
      </c>
      <c r="R128" s="160">
        <v>0</v>
      </c>
      <c r="S128" s="160">
        <v>0</v>
      </c>
      <c r="T128" s="160">
        <v>0</v>
      </c>
      <c r="U128" s="160">
        <v>0</v>
      </c>
      <c r="V128" s="160">
        <v>0</v>
      </c>
      <c r="W128" s="160">
        <v>0</v>
      </c>
      <c r="X128" s="160">
        <v>0</v>
      </c>
      <c r="Y128" s="160">
        <v>0</v>
      </c>
      <c r="Z128" s="160">
        <v>0</v>
      </c>
      <c r="AA128" s="160">
        <v>0</v>
      </c>
      <c r="AB128" s="160">
        <v>0</v>
      </c>
      <c r="AC128" s="160">
        <v>0</v>
      </c>
      <c r="AD128" s="160">
        <v>0</v>
      </c>
      <c r="AE128" s="160">
        <v>0</v>
      </c>
      <c r="AF128" s="160">
        <v>0</v>
      </c>
      <c r="AG128" s="160">
        <v>0</v>
      </c>
      <c r="AH128" s="160">
        <v>0</v>
      </c>
      <c r="AI128" s="160">
        <v>0</v>
      </c>
      <c r="AJ128" s="388" t="s">
        <v>694</v>
      </c>
      <c r="AK128" s="388" t="s">
        <v>694</v>
      </c>
      <c r="AL128" s="388" t="s">
        <v>694</v>
      </c>
      <c r="AN128" s="173"/>
      <c r="AO128" s="173"/>
    </row>
    <row r="129" spans="2:41">
      <c r="AK129" s="173"/>
      <c r="AL129" s="173"/>
      <c r="AN129" s="173"/>
      <c r="AO129" s="173"/>
    </row>
    <row r="130" spans="2:41">
      <c r="AK130" s="173"/>
      <c r="AL130" s="173"/>
      <c r="AN130" s="173"/>
      <c r="AO130" s="173"/>
    </row>
    <row r="131" spans="2:41">
      <c r="D131" s="120" t="s">
        <v>627</v>
      </c>
      <c r="E131" s="160"/>
      <c r="F131" s="160"/>
      <c r="G131" s="160"/>
      <c r="H131" s="160"/>
      <c r="I131" s="160"/>
      <c r="J131" s="160"/>
      <c r="K131" s="160"/>
      <c r="L131" s="160"/>
      <c r="M131" s="160"/>
      <c r="N131" s="160"/>
      <c r="O131" s="160"/>
      <c r="P131" s="160"/>
      <c r="R131" s="160"/>
      <c r="S131" s="160">
        <f t="shared" si="74"/>
        <v>0</v>
      </c>
      <c r="T131" s="160"/>
      <c r="U131" s="160"/>
      <c r="V131" s="160"/>
      <c r="W131" s="160"/>
      <c r="X131" s="160"/>
      <c r="Y131" s="160"/>
      <c r="Z131" s="160"/>
      <c r="AA131" s="160"/>
      <c r="AB131" s="160"/>
      <c r="AC131" s="160"/>
      <c r="AD131" s="160"/>
      <c r="AE131" s="160"/>
      <c r="AF131" s="160"/>
      <c r="AG131" s="160"/>
      <c r="AH131" s="160"/>
      <c r="AI131" s="160"/>
      <c r="AJ131" s="160"/>
      <c r="AK131" s="160"/>
      <c r="AL131" s="160"/>
      <c r="AN131" s="173"/>
      <c r="AO131" s="173"/>
    </row>
    <row r="132" spans="2:41" ht="12" customHeight="1">
      <c r="B132" s="464" t="s">
        <v>627</v>
      </c>
      <c r="C132" s="34"/>
      <c r="D132" s="35" t="s">
        <v>602</v>
      </c>
      <c r="E132" s="170">
        <f t="shared" ref="E132:K137" si="99">E7+E49+E92</f>
        <v>588717</v>
      </c>
      <c r="F132" s="170">
        <f t="shared" si="99"/>
        <v>395750</v>
      </c>
      <c r="G132" s="170">
        <f t="shared" si="99"/>
        <v>527411</v>
      </c>
      <c r="H132" s="170">
        <f t="shared" si="99"/>
        <v>661237</v>
      </c>
      <c r="I132" s="170">
        <f t="shared" si="99"/>
        <v>633944</v>
      </c>
      <c r="J132" s="170">
        <f t="shared" si="99"/>
        <v>596658</v>
      </c>
      <c r="K132" s="170">
        <f t="shared" si="99"/>
        <v>742662</v>
      </c>
      <c r="L132" s="170">
        <f t="shared" ref="L132:M137" si="100">L92+L49+L7</f>
        <v>544926</v>
      </c>
      <c r="M132" s="170">
        <f t="shared" si="100"/>
        <v>431515</v>
      </c>
      <c r="N132" s="170">
        <v>422734</v>
      </c>
      <c r="O132" s="170">
        <v>411138</v>
      </c>
      <c r="P132" s="170">
        <v>397726</v>
      </c>
      <c r="R132" s="170">
        <f t="shared" ref="R132:R137" si="101">R7+R49+R92</f>
        <v>235027</v>
      </c>
      <c r="S132" s="170">
        <f t="shared" si="74"/>
        <v>292384</v>
      </c>
      <c r="T132" s="170">
        <f t="shared" ref="T132:AI132" si="102">T7+T49+T92</f>
        <v>345515</v>
      </c>
      <c r="U132" s="170">
        <f t="shared" si="102"/>
        <v>315722</v>
      </c>
      <c r="V132" s="170">
        <f t="shared" si="102"/>
        <v>330258</v>
      </c>
      <c r="W132" s="170">
        <f t="shared" si="102"/>
        <v>303686</v>
      </c>
      <c r="X132" s="170">
        <f t="shared" si="102"/>
        <v>313820</v>
      </c>
      <c r="Y132" s="170">
        <f t="shared" si="102"/>
        <v>282838</v>
      </c>
      <c r="Z132" s="170">
        <f t="shared" si="102"/>
        <v>386790</v>
      </c>
      <c r="AA132" s="170">
        <f t="shared" si="102"/>
        <v>355872</v>
      </c>
      <c r="AB132" s="170">
        <f t="shared" si="102"/>
        <v>292335</v>
      </c>
      <c r="AC132" s="170">
        <f t="shared" si="102"/>
        <v>252591</v>
      </c>
      <c r="AD132" s="170">
        <f t="shared" si="102"/>
        <v>224593</v>
      </c>
      <c r="AE132" s="170">
        <f t="shared" si="102"/>
        <v>206922</v>
      </c>
      <c r="AF132" s="170">
        <f t="shared" si="102"/>
        <v>210813</v>
      </c>
      <c r="AG132" s="170">
        <f t="shared" si="102"/>
        <v>211921</v>
      </c>
      <c r="AH132" s="170">
        <f t="shared" si="102"/>
        <v>212907</v>
      </c>
      <c r="AI132" s="170">
        <f t="shared" si="102"/>
        <v>198231</v>
      </c>
      <c r="AJ132" s="170">
        <f t="shared" ref="AJ132:AL137" si="103">AJ7+AJ49</f>
        <v>205439</v>
      </c>
      <c r="AK132" s="170">
        <f>P132-AJ132</f>
        <v>192287</v>
      </c>
      <c r="AL132" s="170">
        <v>193957</v>
      </c>
      <c r="AN132" s="173"/>
      <c r="AO132" s="173"/>
    </row>
    <row r="133" spans="2:41">
      <c r="B133" s="464"/>
      <c r="C133" s="34"/>
      <c r="D133" s="63" t="s">
        <v>603</v>
      </c>
      <c r="E133" s="366">
        <f t="shared" si="99"/>
        <v>12814</v>
      </c>
      <c r="F133" s="366">
        <f t="shared" si="99"/>
        <v>5737</v>
      </c>
      <c r="G133" s="366">
        <f t="shared" si="99"/>
        <v>5522</v>
      </c>
      <c r="H133" s="366">
        <f t="shared" si="99"/>
        <v>5454</v>
      </c>
      <c r="I133" s="366">
        <f t="shared" si="99"/>
        <v>325</v>
      </c>
      <c r="J133" s="366">
        <f t="shared" si="99"/>
        <v>126</v>
      </c>
      <c r="K133" s="366">
        <f t="shared" si="99"/>
        <v>227</v>
      </c>
      <c r="L133" s="366">
        <f t="shared" si="100"/>
        <v>110</v>
      </c>
      <c r="M133" s="366">
        <f t="shared" si="100"/>
        <v>45</v>
      </c>
      <c r="N133" s="366">
        <v>11</v>
      </c>
      <c r="O133" s="366">
        <v>0</v>
      </c>
      <c r="P133" s="366">
        <v>0</v>
      </c>
      <c r="R133" s="366">
        <f t="shared" si="101"/>
        <v>2776</v>
      </c>
      <c r="S133" s="366">
        <f t="shared" si="74"/>
        <v>2746</v>
      </c>
      <c r="T133" s="366">
        <f t="shared" ref="T133:AI133" si="104">T8+T50+T93</f>
        <v>2773</v>
      </c>
      <c r="U133" s="366">
        <f t="shared" si="104"/>
        <v>2681</v>
      </c>
      <c r="V133" s="366">
        <f t="shared" si="104"/>
        <v>185</v>
      </c>
      <c r="W133" s="366">
        <f t="shared" si="104"/>
        <v>140</v>
      </c>
      <c r="X133" s="366">
        <f t="shared" si="104"/>
        <v>50</v>
      </c>
      <c r="Y133" s="366">
        <f t="shared" si="104"/>
        <v>76</v>
      </c>
      <c r="Z133" s="366">
        <f t="shared" si="104"/>
        <v>128</v>
      </c>
      <c r="AA133" s="366">
        <f t="shared" si="104"/>
        <v>99</v>
      </c>
      <c r="AB133" s="366">
        <f t="shared" si="104"/>
        <v>63</v>
      </c>
      <c r="AC133" s="366">
        <f t="shared" si="104"/>
        <v>47</v>
      </c>
      <c r="AD133" s="366">
        <f t="shared" si="104"/>
        <v>50</v>
      </c>
      <c r="AE133" s="366">
        <f t="shared" si="104"/>
        <v>-5</v>
      </c>
      <c r="AF133" s="366">
        <f t="shared" si="104"/>
        <v>11</v>
      </c>
      <c r="AG133" s="366">
        <f t="shared" si="104"/>
        <v>0</v>
      </c>
      <c r="AH133" s="366">
        <f t="shared" si="104"/>
        <v>0</v>
      </c>
      <c r="AI133" s="366">
        <f t="shared" si="104"/>
        <v>0</v>
      </c>
      <c r="AJ133" s="366">
        <f t="shared" si="103"/>
        <v>0</v>
      </c>
      <c r="AK133" s="366">
        <f t="shared" ref="AK133:AK152" si="105">P133-AJ133</f>
        <v>0</v>
      </c>
      <c r="AL133" s="366">
        <v>0</v>
      </c>
      <c r="AN133" s="173"/>
      <c r="AO133" s="173"/>
    </row>
    <row r="134" spans="2:41">
      <c r="B134" s="464"/>
      <c r="C134" s="34"/>
      <c r="D134" s="35" t="s">
        <v>604</v>
      </c>
      <c r="E134" s="170">
        <f t="shared" si="99"/>
        <v>601531</v>
      </c>
      <c r="F134" s="170">
        <f t="shared" si="99"/>
        <v>401487</v>
      </c>
      <c r="G134" s="170">
        <f t="shared" si="99"/>
        <v>532933</v>
      </c>
      <c r="H134" s="170">
        <f t="shared" si="99"/>
        <v>666691</v>
      </c>
      <c r="I134" s="170">
        <f t="shared" si="99"/>
        <v>634269</v>
      </c>
      <c r="J134" s="170">
        <f t="shared" si="99"/>
        <v>596784</v>
      </c>
      <c r="K134" s="170">
        <f t="shared" si="99"/>
        <v>742889</v>
      </c>
      <c r="L134" s="170">
        <f t="shared" si="100"/>
        <v>545036</v>
      </c>
      <c r="M134" s="170">
        <f t="shared" si="100"/>
        <v>431560</v>
      </c>
      <c r="N134" s="170">
        <v>422745</v>
      </c>
      <c r="O134" s="170">
        <v>411138</v>
      </c>
      <c r="P134" s="170">
        <v>397726</v>
      </c>
      <c r="R134" s="170">
        <f t="shared" si="101"/>
        <v>237803</v>
      </c>
      <c r="S134" s="170">
        <f>S9+S51+S94</f>
        <v>295130</v>
      </c>
      <c r="T134" s="170">
        <f t="shared" ref="T134:AI134" si="106">T9+T51+T94</f>
        <v>348288</v>
      </c>
      <c r="U134" s="170">
        <f t="shared" si="106"/>
        <v>318403</v>
      </c>
      <c r="V134" s="170">
        <f t="shared" si="106"/>
        <v>330443</v>
      </c>
      <c r="W134" s="170">
        <f t="shared" si="106"/>
        <v>303826</v>
      </c>
      <c r="X134" s="170">
        <f t="shared" si="106"/>
        <v>313870</v>
      </c>
      <c r="Y134" s="170">
        <f t="shared" si="106"/>
        <v>282914</v>
      </c>
      <c r="Z134" s="170">
        <f t="shared" si="106"/>
        <v>386918</v>
      </c>
      <c r="AA134" s="170">
        <f t="shared" si="106"/>
        <v>355971</v>
      </c>
      <c r="AB134" s="170">
        <f t="shared" si="106"/>
        <v>292398</v>
      </c>
      <c r="AC134" s="170">
        <f t="shared" si="106"/>
        <v>252638</v>
      </c>
      <c r="AD134" s="170">
        <f t="shared" si="106"/>
        <v>224643</v>
      </c>
      <c r="AE134" s="170">
        <f t="shared" si="106"/>
        <v>206917</v>
      </c>
      <c r="AF134" s="170">
        <f t="shared" si="106"/>
        <v>210824</v>
      </c>
      <c r="AG134" s="170">
        <f t="shared" si="106"/>
        <v>211921</v>
      </c>
      <c r="AH134" s="170">
        <f t="shared" si="106"/>
        <v>212907</v>
      </c>
      <c r="AI134" s="170">
        <f t="shared" si="106"/>
        <v>198231</v>
      </c>
      <c r="AJ134" s="170">
        <f t="shared" si="103"/>
        <v>205439</v>
      </c>
      <c r="AK134" s="170">
        <f t="shared" si="103"/>
        <v>192287</v>
      </c>
      <c r="AL134" s="170">
        <f t="shared" si="103"/>
        <v>193957</v>
      </c>
      <c r="AN134" s="173"/>
      <c r="AO134" s="173"/>
    </row>
    <row r="135" spans="2:41">
      <c r="B135" s="464"/>
      <c r="C135" s="34"/>
      <c r="D135" s="36" t="s">
        <v>1</v>
      </c>
      <c r="E135" s="171">
        <f t="shared" si="99"/>
        <v>-316365</v>
      </c>
      <c r="F135" s="171">
        <f t="shared" si="99"/>
        <v>-232748</v>
      </c>
      <c r="G135" s="171">
        <f t="shared" si="99"/>
        <v>-283599</v>
      </c>
      <c r="H135" s="171">
        <f t="shared" si="99"/>
        <v>-329402</v>
      </c>
      <c r="I135" s="171">
        <f t="shared" si="99"/>
        <v>-392856</v>
      </c>
      <c r="J135" s="171">
        <f t="shared" si="99"/>
        <v>-314942</v>
      </c>
      <c r="K135" s="171">
        <f t="shared" si="99"/>
        <v>-383732</v>
      </c>
      <c r="L135" s="171">
        <f t="shared" si="100"/>
        <v>-274893</v>
      </c>
      <c r="M135" s="171">
        <f t="shared" si="100"/>
        <v>-317986</v>
      </c>
      <c r="N135" s="171">
        <v>-373507</v>
      </c>
      <c r="O135" s="171">
        <v>-197660</v>
      </c>
      <c r="P135" s="171">
        <v>-181314</v>
      </c>
      <c r="R135" s="171">
        <f t="shared" si="101"/>
        <v>-141046</v>
      </c>
      <c r="S135" s="171">
        <f t="shared" si="74"/>
        <v>-142553</v>
      </c>
      <c r="T135" s="171">
        <f t="shared" ref="T135:AI135" si="107">T10+T52+T95</f>
        <v>-171008</v>
      </c>
      <c r="U135" s="171">
        <f t="shared" si="107"/>
        <v>-158394</v>
      </c>
      <c r="V135" s="171">
        <f t="shared" si="107"/>
        <v>-163845</v>
      </c>
      <c r="W135" s="171">
        <f t="shared" si="107"/>
        <v>-229011</v>
      </c>
      <c r="X135" s="171">
        <f t="shared" si="107"/>
        <v>-164379</v>
      </c>
      <c r="Y135" s="171">
        <f t="shared" si="107"/>
        <v>-150563</v>
      </c>
      <c r="Z135" s="171">
        <f t="shared" si="107"/>
        <v>-216207</v>
      </c>
      <c r="AA135" s="171">
        <f t="shared" si="107"/>
        <v>-167525</v>
      </c>
      <c r="AB135" s="171">
        <f t="shared" si="107"/>
        <v>-170283</v>
      </c>
      <c r="AC135" s="171">
        <f t="shared" si="107"/>
        <v>-104610</v>
      </c>
      <c r="AD135" s="171">
        <f t="shared" si="107"/>
        <v>-101017</v>
      </c>
      <c r="AE135" s="171">
        <f t="shared" si="107"/>
        <v>-216969</v>
      </c>
      <c r="AF135" s="171">
        <f t="shared" si="107"/>
        <v>-141597</v>
      </c>
      <c r="AG135" s="171">
        <f t="shared" si="107"/>
        <v>-231910</v>
      </c>
      <c r="AH135" s="171">
        <f t="shared" si="107"/>
        <v>-98022</v>
      </c>
      <c r="AI135" s="171">
        <f t="shared" si="107"/>
        <v>-99638</v>
      </c>
      <c r="AJ135" s="171">
        <f t="shared" si="103"/>
        <v>-89165</v>
      </c>
      <c r="AK135" s="171">
        <f t="shared" si="105"/>
        <v>-92149</v>
      </c>
      <c r="AL135" s="171">
        <v>-99784</v>
      </c>
      <c r="AN135" s="173"/>
      <c r="AO135" s="173"/>
    </row>
    <row r="136" spans="2:41">
      <c r="B136" s="464"/>
      <c r="C136" s="34"/>
      <c r="D136" s="36" t="s">
        <v>605</v>
      </c>
      <c r="E136" s="171">
        <f t="shared" si="99"/>
        <v>-48928</v>
      </c>
      <c r="F136" s="171">
        <f t="shared" si="99"/>
        <v>-32374</v>
      </c>
      <c r="G136" s="171">
        <f t="shared" si="99"/>
        <v>-35120</v>
      </c>
      <c r="H136" s="171">
        <f t="shared" si="99"/>
        <v>-39446</v>
      </c>
      <c r="I136" s="171">
        <f t="shared" si="99"/>
        <v>-43324</v>
      </c>
      <c r="J136" s="171">
        <f t="shared" si="99"/>
        <v>-37139</v>
      </c>
      <c r="K136" s="171">
        <f t="shared" si="99"/>
        <v>-41594</v>
      </c>
      <c r="L136" s="171">
        <f t="shared" si="100"/>
        <v>-28420</v>
      </c>
      <c r="M136" s="171">
        <f t="shared" si="100"/>
        <v>-23406</v>
      </c>
      <c r="N136" s="171">
        <v>-27385</v>
      </c>
      <c r="O136" s="171">
        <v>-24575</v>
      </c>
      <c r="P136" s="171">
        <v>-11593</v>
      </c>
      <c r="R136" s="171">
        <f t="shared" si="101"/>
        <v>-16129</v>
      </c>
      <c r="S136" s="171">
        <f t="shared" si="74"/>
        <v>-18991</v>
      </c>
      <c r="T136" s="171">
        <f t="shared" ref="T136:AI136" si="108">T11+T53+T96</f>
        <v>-20418</v>
      </c>
      <c r="U136" s="171">
        <f t="shared" si="108"/>
        <v>-19028</v>
      </c>
      <c r="V136" s="171">
        <f t="shared" si="108"/>
        <v>-20629</v>
      </c>
      <c r="W136" s="171">
        <f t="shared" si="108"/>
        <v>-22695</v>
      </c>
      <c r="X136" s="171">
        <f t="shared" si="108"/>
        <v>-18448</v>
      </c>
      <c r="Y136" s="171">
        <f t="shared" si="108"/>
        <v>-18691</v>
      </c>
      <c r="Z136" s="171">
        <f t="shared" si="108"/>
        <v>-24918</v>
      </c>
      <c r="AA136" s="171">
        <f t="shared" si="108"/>
        <v>-16676</v>
      </c>
      <c r="AB136" s="171">
        <f t="shared" si="108"/>
        <v>-14040</v>
      </c>
      <c r="AC136" s="171">
        <f t="shared" si="108"/>
        <v>-14380</v>
      </c>
      <c r="AD136" s="171">
        <f t="shared" si="108"/>
        <v>-11446</v>
      </c>
      <c r="AE136" s="171">
        <f t="shared" si="108"/>
        <v>-11960</v>
      </c>
      <c r="AF136" s="171">
        <f t="shared" si="108"/>
        <v>-13878</v>
      </c>
      <c r="AG136" s="171">
        <f t="shared" si="108"/>
        <v>-13507</v>
      </c>
      <c r="AH136" s="171">
        <f t="shared" si="108"/>
        <v>-13641</v>
      </c>
      <c r="AI136" s="171">
        <f t="shared" si="108"/>
        <v>-10934</v>
      </c>
      <c r="AJ136" s="171">
        <f t="shared" si="103"/>
        <v>-7060</v>
      </c>
      <c r="AK136" s="171">
        <f t="shared" si="105"/>
        <v>-4533</v>
      </c>
      <c r="AL136" s="171">
        <v>-4975</v>
      </c>
      <c r="AN136" s="173"/>
      <c r="AO136" s="173"/>
    </row>
    <row r="137" spans="2:41">
      <c r="B137" s="464"/>
      <c r="C137" s="34"/>
      <c r="D137" s="63" t="s">
        <v>5</v>
      </c>
      <c r="E137" s="366">
        <f t="shared" si="99"/>
        <v>6827</v>
      </c>
      <c r="F137" s="366">
        <f t="shared" si="99"/>
        <v>2710</v>
      </c>
      <c r="G137" s="366">
        <f t="shared" si="99"/>
        <v>4740</v>
      </c>
      <c r="H137" s="366">
        <f t="shared" si="99"/>
        <v>2531</v>
      </c>
      <c r="I137" s="366">
        <f t="shared" si="99"/>
        <v>-1597</v>
      </c>
      <c r="J137" s="366">
        <f t="shared" si="99"/>
        <v>2483</v>
      </c>
      <c r="K137" s="366">
        <f t="shared" si="99"/>
        <v>12472</v>
      </c>
      <c r="L137" s="366">
        <f t="shared" si="100"/>
        <v>-5207</v>
      </c>
      <c r="M137" s="366">
        <f t="shared" si="100"/>
        <v>-68552</v>
      </c>
      <c r="N137" s="366">
        <v>-70979</v>
      </c>
      <c r="O137" s="366">
        <v>-24574</v>
      </c>
      <c r="P137" s="366">
        <v>331</v>
      </c>
      <c r="R137" s="366">
        <f t="shared" si="101"/>
        <v>2640</v>
      </c>
      <c r="S137" s="366">
        <f t="shared" si="74"/>
        <v>2100</v>
      </c>
      <c r="T137" s="366">
        <f t="shared" ref="T137:AI137" si="109">T12+T54+T97</f>
        <v>1721</v>
      </c>
      <c r="U137" s="366">
        <f t="shared" si="109"/>
        <v>810</v>
      </c>
      <c r="V137" s="366">
        <f t="shared" si="109"/>
        <v>-1118</v>
      </c>
      <c r="W137" s="366">
        <f t="shared" si="109"/>
        <v>-479</v>
      </c>
      <c r="X137" s="366">
        <f t="shared" si="109"/>
        <v>2694</v>
      </c>
      <c r="Y137" s="366">
        <f t="shared" si="109"/>
        <v>-211</v>
      </c>
      <c r="Z137" s="366">
        <f t="shared" si="109"/>
        <v>-1003</v>
      </c>
      <c r="AA137" s="366">
        <f t="shared" si="109"/>
        <v>13475</v>
      </c>
      <c r="AB137" s="366">
        <f t="shared" si="109"/>
        <v>-6913</v>
      </c>
      <c r="AC137" s="366">
        <f t="shared" si="109"/>
        <v>1706</v>
      </c>
      <c r="AD137" s="366">
        <f t="shared" si="109"/>
        <v>-31254</v>
      </c>
      <c r="AE137" s="366">
        <f t="shared" si="109"/>
        <v>-37298</v>
      </c>
      <c r="AF137" s="366">
        <f t="shared" si="109"/>
        <v>-35793</v>
      </c>
      <c r="AG137" s="366">
        <f t="shared" si="109"/>
        <v>-35186</v>
      </c>
      <c r="AH137" s="366">
        <f t="shared" si="109"/>
        <v>4963</v>
      </c>
      <c r="AI137" s="366">
        <f t="shared" si="109"/>
        <v>-29537</v>
      </c>
      <c r="AJ137" s="366">
        <f t="shared" si="103"/>
        <v>-939</v>
      </c>
      <c r="AK137" s="366">
        <f t="shared" si="105"/>
        <v>1270</v>
      </c>
      <c r="AL137" s="366">
        <v>31</v>
      </c>
      <c r="AN137" s="173"/>
      <c r="AO137" s="173"/>
    </row>
    <row r="138" spans="2:41">
      <c r="B138" s="464"/>
      <c r="C138" s="34"/>
      <c r="D138" s="36" t="s">
        <v>6</v>
      </c>
      <c r="E138" s="171">
        <f t="shared" ref="E138:N138" si="110">SUM(E134:E137)</f>
        <v>243065</v>
      </c>
      <c r="F138" s="171">
        <f t="shared" si="110"/>
        <v>139075</v>
      </c>
      <c r="G138" s="171">
        <f t="shared" si="110"/>
        <v>218954</v>
      </c>
      <c r="H138" s="171">
        <f t="shared" si="110"/>
        <v>300374</v>
      </c>
      <c r="I138" s="171">
        <f t="shared" si="110"/>
        <v>196492</v>
      </c>
      <c r="J138" s="171">
        <f t="shared" si="110"/>
        <v>247186</v>
      </c>
      <c r="K138" s="171">
        <f t="shared" si="110"/>
        <v>330035</v>
      </c>
      <c r="L138" s="171">
        <f t="shared" si="110"/>
        <v>236516</v>
      </c>
      <c r="M138" s="171">
        <f t="shared" si="110"/>
        <v>21616</v>
      </c>
      <c r="N138" s="171">
        <f t="shared" si="110"/>
        <v>-49126</v>
      </c>
      <c r="O138" s="171">
        <f>SUM(O134:O137)</f>
        <v>164329</v>
      </c>
      <c r="P138" s="171">
        <f>SUM(P134:P137)</f>
        <v>205150</v>
      </c>
      <c r="R138" s="171">
        <f t="shared" ref="R138:AL138" si="111">SUM(R134:R137)</f>
        <v>83268</v>
      </c>
      <c r="S138" s="171">
        <f t="shared" si="111"/>
        <v>135686</v>
      </c>
      <c r="T138" s="171">
        <f t="shared" si="111"/>
        <v>158583</v>
      </c>
      <c r="U138" s="171">
        <f t="shared" si="111"/>
        <v>141791</v>
      </c>
      <c r="V138" s="171">
        <f t="shared" si="111"/>
        <v>144851</v>
      </c>
      <c r="W138" s="171">
        <f t="shared" si="111"/>
        <v>51641</v>
      </c>
      <c r="X138" s="171">
        <f t="shared" si="111"/>
        <v>133737</v>
      </c>
      <c r="Y138" s="171">
        <f t="shared" si="111"/>
        <v>113449</v>
      </c>
      <c r="Z138" s="171">
        <f t="shared" si="111"/>
        <v>144790</v>
      </c>
      <c r="AA138" s="171">
        <f t="shared" si="111"/>
        <v>185245</v>
      </c>
      <c r="AB138" s="171">
        <f t="shared" si="111"/>
        <v>101162</v>
      </c>
      <c r="AC138" s="171">
        <f t="shared" si="111"/>
        <v>135354</v>
      </c>
      <c r="AD138" s="171">
        <f t="shared" si="111"/>
        <v>80926</v>
      </c>
      <c r="AE138" s="171">
        <f t="shared" si="111"/>
        <v>-59310</v>
      </c>
      <c r="AF138" s="171">
        <f t="shared" si="111"/>
        <v>19556</v>
      </c>
      <c r="AG138" s="171">
        <f t="shared" si="111"/>
        <v>-68682</v>
      </c>
      <c r="AH138" s="171">
        <f t="shared" si="111"/>
        <v>106207</v>
      </c>
      <c r="AI138" s="171">
        <f t="shared" si="111"/>
        <v>58122</v>
      </c>
      <c r="AJ138" s="171">
        <f t="shared" si="111"/>
        <v>108275</v>
      </c>
      <c r="AK138" s="171">
        <f t="shared" si="111"/>
        <v>96875</v>
      </c>
      <c r="AL138" s="171">
        <f t="shared" si="111"/>
        <v>89229</v>
      </c>
      <c r="AN138" s="173"/>
      <c r="AO138" s="173"/>
    </row>
    <row r="139" spans="2:41">
      <c r="B139" s="464"/>
      <c r="C139" s="34"/>
      <c r="D139" s="36"/>
      <c r="E139" s="171"/>
      <c r="F139" s="171"/>
      <c r="G139" s="171"/>
      <c r="H139" s="171"/>
      <c r="I139" s="171"/>
      <c r="J139" s="171"/>
      <c r="K139" s="171"/>
      <c r="L139" s="171"/>
      <c r="M139" s="171"/>
      <c r="N139" s="171"/>
      <c r="O139" s="171"/>
      <c r="P139" s="171"/>
      <c r="R139" s="171">
        <f>R14+R56+R99</f>
        <v>0</v>
      </c>
      <c r="S139" s="171">
        <f t="shared" si="74"/>
        <v>0</v>
      </c>
      <c r="T139" s="171">
        <f t="shared" ref="T139:AH139" si="112">T14+T56+T99</f>
        <v>0</v>
      </c>
      <c r="U139" s="171">
        <f t="shared" si="112"/>
        <v>0</v>
      </c>
      <c r="V139" s="171">
        <f t="shared" si="112"/>
        <v>0</v>
      </c>
      <c r="W139" s="171">
        <f t="shared" si="112"/>
        <v>0</v>
      </c>
      <c r="X139" s="171">
        <f t="shared" si="112"/>
        <v>0</v>
      </c>
      <c r="Y139" s="171">
        <f t="shared" si="112"/>
        <v>0</v>
      </c>
      <c r="Z139" s="171">
        <f t="shared" si="112"/>
        <v>0</v>
      </c>
      <c r="AA139" s="171">
        <f t="shared" si="112"/>
        <v>0</v>
      </c>
      <c r="AB139" s="171">
        <f t="shared" si="112"/>
        <v>0</v>
      </c>
      <c r="AC139" s="171">
        <f t="shared" si="112"/>
        <v>0</v>
      </c>
      <c r="AD139" s="171">
        <f t="shared" si="112"/>
        <v>0</v>
      </c>
      <c r="AE139" s="171">
        <f t="shared" si="112"/>
        <v>0</v>
      </c>
      <c r="AF139" s="171">
        <f t="shared" si="112"/>
        <v>0</v>
      </c>
      <c r="AG139" s="171">
        <f t="shared" si="112"/>
        <v>0</v>
      </c>
      <c r="AH139" s="171">
        <f t="shared" si="112"/>
        <v>0</v>
      </c>
      <c r="AI139" s="171"/>
      <c r="AJ139" s="171"/>
      <c r="AK139" s="171"/>
      <c r="AL139" s="171"/>
      <c r="AN139" s="173"/>
      <c r="AO139" s="173"/>
    </row>
    <row r="140" spans="2:41">
      <c r="B140" s="464"/>
      <c r="C140" s="34"/>
      <c r="D140" s="36" t="s">
        <v>9</v>
      </c>
      <c r="E140" s="171">
        <f t="shared" ref="E140:K143" si="113">E15+E57+E100</f>
        <v>-48868</v>
      </c>
      <c r="F140" s="171">
        <f t="shared" si="113"/>
        <v>-19712</v>
      </c>
      <c r="G140" s="171">
        <f t="shared" si="113"/>
        <v>-15802</v>
      </c>
      <c r="H140" s="171">
        <f t="shared" si="113"/>
        <v>-31845</v>
      </c>
      <c r="I140" s="171">
        <f t="shared" si="113"/>
        <v>-9034</v>
      </c>
      <c r="J140" s="171">
        <f t="shared" si="113"/>
        <v>-50675</v>
      </c>
      <c r="K140" s="171">
        <f t="shared" si="113"/>
        <v>-579411</v>
      </c>
      <c r="L140" s="171">
        <f t="shared" ref="L140:M144" si="114">L100+L57+L15</f>
        <v>-221957</v>
      </c>
      <c r="M140" s="171">
        <f t="shared" si="114"/>
        <v>111265</v>
      </c>
      <c r="N140" s="171">
        <v>-19633</v>
      </c>
      <c r="O140" s="171">
        <v>-188193</v>
      </c>
      <c r="P140" s="171">
        <v>-46921</v>
      </c>
      <c r="R140" s="171">
        <f>R15+R57+R100</f>
        <v>-7180</v>
      </c>
      <c r="S140" s="171">
        <f t="shared" si="74"/>
        <v>-8622</v>
      </c>
      <c r="T140" s="171">
        <f t="shared" ref="T140:AI140" si="115">T15+T57+T100</f>
        <v>1961</v>
      </c>
      <c r="U140" s="171">
        <f t="shared" si="115"/>
        <v>-33806</v>
      </c>
      <c r="V140" s="171">
        <f t="shared" si="115"/>
        <v>-12301</v>
      </c>
      <c r="W140" s="171">
        <f t="shared" si="115"/>
        <v>3267</v>
      </c>
      <c r="X140" s="171">
        <f t="shared" si="115"/>
        <v>-35711</v>
      </c>
      <c r="Y140" s="171">
        <f t="shared" si="115"/>
        <v>-14964</v>
      </c>
      <c r="Z140" s="171">
        <f t="shared" si="115"/>
        <v>-33027</v>
      </c>
      <c r="AA140" s="171">
        <f t="shared" si="115"/>
        <v>-546384</v>
      </c>
      <c r="AB140" s="171">
        <f t="shared" si="115"/>
        <v>-27546</v>
      </c>
      <c r="AC140" s="171">
        <f t="shared" si="115"/>
        <v>-194411</v>
      </c>
      <c r="AD140" s="171">
        <f t="shared" si="115"/>
        <v>94406</v>
      </c>
      <c r="AE140" s="171">
        <f t="shared" si="115"/>
        <v>16859</v>
      </c>
      <c r="AF140" s="171">
        <f t="shared" si="115"/>
        <v>-11495</v>
      </c>
      <c r="AG140" s="171">
        <f t="shared" si="115"/>
        <v>-8138</v>
      </c>
      <c r="AH140" s="171">
        <f t="shared" si="115"/>
        <v>-91839</v>
      </c>
      <c r="AI140" s="171">
        <f t="shared" si="115"/>
        <v>-96354</v>
      </c>
      <c r="AJ140" s="171">
        <f>AJ15+AJ57</f>
        <v>-2536</v>
      </c>
      <c r="AK140" s="171">
        <f t="shared" si="105"/>
        <v>-44385</v>
      </c>
      <c r="AL140" s="171">
        <v>-50097</v>
      </c>
      <c r="AN140" s="173"/>
      <c r="AO140" s="173"/>
    </row>
    <row r="141" spans="2:41">
      <c r="B141" s="464"/>
      <c r="C141" s="34"/>
      <c r="D141" s="36" t="s">
        <v>606</v>
      </c>
      <c r="E141" s="171">
        <f t="shared" si="113"/>
        <v>10010</v>
      </c>
      <c r="F141" s="171">
        <f t="shared" si="113"/>
        <v>6402</v>
      </c>
      <c r="G141" s="171">
        <f t="shared" si="113"/>
        <v>6303</v>
      </c>
      <c r="H141" s="171">
        <f t="shared" si="113"/>
        <v>5731</v>
      </c>
      <c r="I141" s="171">
        <f t="shared" si="113"/>
        <v>4942</v>
      </c>
      <c r="J141" s="171">
        <f t="shared" si="113"/>
        <v>6219</v>
      </c>
      <c r="K141" s="171">
        <f t="shared" si="113"/>
        <v>7095</v>
      </c>
      <c r="L141" s="171">
        <f t="shared" si="114"/>
        <v>2348</v>
      </c>
      <c r="M141" s="171">
        <f t="shared" si="114"/>
        <v>4078</v>
      </c>
      <c r="N141" s="171">
        <v>2986</v>
      </c>
      <c r="O141" s="171">
        <v>3178</v>
      </c>
      <c r="P141" s="171">
        <v>2904</v>
      </c>
      <c r="R141" s="171">
        <f>R16+R58+R101</f>
        <v>3104</v>
      </c>
      <c r="S141" s="171">
        <f t="shared" si="74"/>
        <v>3199</v>
      </c>
      <c r="T141" s="171">
        <f t="shared" ref="T141:AI141" si="116">T16+T58+T101</f>
        <v>3622</v>
      </c>
      <c r="U141" s="171">
        <f t="shared" si="116"/>
        <v>2109</v>
      </c>
      <c r="V141" s="171">
        <f t="shared" si="116"/>
        <v>1926</v>
      </c>
      <c r="W141" s="171">
        <f t="shared" si="116"/>
        <v>3016</v>
      </c>
      <c r="X141" s="171">
        <f t="shared" si="116"/>
        <v>3395</v>
      </c>
      <c r="Y141" s="171">
        <f t="shared" si="116"/>
        <v>2824</v>
      </c>
      <c r="Z141" s="171">
        <f t="shared" si="116"/>
        <v>5277</v>
      </c>
      <c r="AA141" s="171">
        <f t="shared" si="116"/>
        <v>1818</v>
      </c>
      <c r="AB141" s="171">
        <f t="shared" si="116"/>
        <v>780</v>
      </c>
      <c r="AC141" s="171">
        <f t="shared" si="116"/>
        <v>1568</v>
      </c>
      <c r="AD141" s="171">
        <f t="shared" si="116"/>
        <v>2533</v>
      </c>
      <c r="AE141" s="171">
        <f t="shared" si="116"/>
        <v>1545</v>
      </c>
      <c r="AF141" s="171">
        <f t="shared" si="116"/>
        <v>1378</v>
      </c>
      <c r="AG141" s="171">
        <f t="shared" si="116"/>
        <v>1608</v>
      </c>
      <c r="AH141" s="171">
        <f t="shared" si="116"/>
        <v>1533</v>
      </c>
      <c r="AI141" s="171">
        <f t="shared" si="116"/>
        <v>1645</v>
      </c>
      <c r="AJ141" s="171">
        <f>AJ16+AJ58</f>
        <v>1549</v>
      </c>
      <c r="AK141" s="171">
        <f t="shared" si="105"/>
        <v>1355</v>
      </c>
      <c r="AL141" s="171">
        <v>837</v>
      </c>
      <c r="AN141" s="173"/>
      <c r="AO141" s="173"/>
    </row>
    <row r="142" spans="2:41">
      <c r="B142" s="464"/>
      <c r="C142" s="34"/>
      <c r="D142" s="36" t="s">
        <v>607</v>
      </c>
      <c r="E142" s="171">
        <f t="shared" si="113"/>
        <v>-31649</v>
      </c>
      <c r="F142" s="171">
        <f t="shared" si="113"/>
        <v>-30825</v>
      </c>
      <c r="G142" s="171">
        <f t="shared" si="113"/>
        <v>-22741</v>
      </c>
      <c r="H142" s="171">
        <f t="shared" si="113"/>
        <v>-23359</v>
      </c>
      <c r="I142" s="171">
        <f t="shared" si="113"/>
        <v>-23590</v>
      </c>
      <c r="J142" s="171">
        <f t="shared" si="113"/>
        <v>-33447</v>
      </c>
      <c r="K142" s="171">
        <f t="shared" si="113"/>
        <v>-102552</v>
      </c>
      <c r="L142" s="171">
        <f t="shared" si="114"/>
        <v>-67330</v>
      </c>
      <c r="M142" s="171">
        <f t="shared" si="114"/>
        <v>-103318</v>
      </c>
      <c r="N142" s="171">
        <v>-92794</v>
      </c>
      <c r="O142" s="171">
        <v>-86158</v>
      </c>
      <c r="P142" s="171">
        <v>-85910</v>
      </c>
      <c r="R142" s="171">
        <f>R17+R59+R102</f>
        <v>-11204</v>
      </c>
      <c r="S142" s="171">
        <f t="shared" ref="S142:S180" si="117">G142-R142</f>
        <v>-11537</v>
      </c>
      <c r="T142" s="171">
        <f t="shared" ref="T142:AI142" si="118">T17+T59+T102</f>
        <v>-11608</v>
      </c>
      <c r="U142" s="171">
        <f t="shared" si="118"/>
        <v>-11751</v>
      </c>
      <c r="V142" s="171">
        <f t="shared" si="118"/>
        <v>-10639</v>
      </c>
      <c r="W142" s="171">
        <f t="shared" si="118"/>
        <v>-12951</v>
      </c>
      <c r="X142" s="171">
        <f t="shared" si="118"/>
        <v>-17436</v>
      </c>
      <c r="Y142" s="171">
        <f t="shared" si="118"/>
        <v>-16011</v>
      </c>
      <c r="Z142" s="171">
        <f t="shared" si="118"/>
        <v>-48493</v>
      </c>
      <c r="AA142" s="171">
        <f t="shared" si="118"/>
        <v>-54059</v>
      </c>
      <c r="AB142" s="171">
        <f t="shared" si="118"/>
        <v>-40242</v>
      </c>
      <c r="AC142" s="171">
        <f t="shared" si="118"/>
        <v>-27088</v>
      </c>
      <c r="AD142" s="171">
        <f t="shared" si="118"/>
        <v>-47774</v>
      </c>
      <c r="AE142" s="171">
        <f t="shared" si="118"/>
        <v>-55544</v>
      </c>
      <c r="AF142" s="171">
        <f t="shared" si="118"/>
        <v>-46852</v>
      </c>
      <c r="AG142" s="171">
        <f t="shared" si="118"/>
        <v>-45942</v>
      </c>
      <c r="AH142" s="171">
        <f t="shared" si="118"/>
        <v>-44545</v>
      </c>
      <c r="AI142" s="171">
        <f t="shared" si="118"/>
        <v>-41613</v>
      </c>
      <c r="AJ142" s="171">
        <f>AJ17+AJ59</f>
        <v>-39503</v>
      </c>
      <c r="AK142" s="171">
        <f t="shared" si="105"/>
        <v>-46407</v>
      </c>
      <c r="AL142" s="171">
        <v>-36868</v>
      </c>
      <c r="AN142" s="173"/>
      <c r="AO142" s="173"/>
    </row>
    <row r="143" spans="2:41">
      <c r="B143" s="464"/>
      <c r="C143" s="34"/>
      <c r="D143" s="36" t="s">
        <v>608</v>
      </c>
      <c r="E143" s="171">
        <f t="shared" si="113"/>
        <v>0</v>
      </c>
      <c r="F143" s="171">
        <f t="shared" si="113"/>
        <v>0</v>
      </c>
      <c r="G143" s="171">
        <f t="shared" si="113"/>
        <v>0</v>
      </c>
      <c r="H143" s="171">
        <f t="shared" si="113"/>
        <v>0</v>
      </c>
      <c r="I143" s="171">
        <f t="shared" si="113"/>
        <v>0</v>
      </c>
      <c r="J143" s="171">
        <f t="shared" si="113"/>
        <v>0</v>
      </c>
      <c r="K143" s="171">
        <f t="shared" si="113"/>
        <v>0</v>
      </c>
      <c r="L143" s="171">
        <f t="shared" si="114"/>
        <v>-5489</v>
      </c>
      <c r="M143" s="171">
        <f t="shared" si="114"/>
        <v>64884</v>
      </c>
      <c r="N143" s="171">
        <v>42089</v>
      </c>
      <c r="O143" s="171">
        <v>-27698</v>
      </c>
      <c r="P143" s="171">
        <v>-9385</v>
      </c>
      <c r="R143" s="171">
        <f>R18+R60+R103</f>
        <v>0</v>
      </c>
      <c r="S143" s="171">
        <f t="shared" si="117"/>
        <v>0</v>
      </c>
      <c r="T143" s="171">
        <f t="shared" ref="T143:AI143" si="119">T18+T60+T103</f>
        <v>0</v>
      </c>
      <c r="U143" s="171">
        <f t="shared" si="119"/>
        <v>0</v>
      </c>
      <c r="V143" s="171">
        <f t="shared" si="119"/>
        <v>0</v>
      </c>
      <c r="W143" s="171">
        <f t="shared" si="119"/>
        <v>0</v>
      </c>
      <c r="X143" s="171">
        <f t="shared" si="119"/>
        <v>0</v>
      </c>
      <c r="Y143" s="171">
        <f t="shared" si="119"/>
        <v>0</v>
      </c>
      <c r="Z143" s="171">
        <f t="shared" si="119"/>
        <v>0</v>
      </c>
      <c r="AA143" s="171">
        <f t="shared" si="119"/>
        <v>0</v>
      </c>
      <c r="AB143" s="171">
        <f t="shared" si="119"/>
        <v>0</v>
      </c>
      <c r="AC143" s="171">
        <f t="shared" si="119"/>
        <v>-5489</v>
      </c>
      <c r="AD143" s="171">
        <f t="shared" si="119"/>
        <v>30209</v>
      </c>
      <c r="AE143" s="171">
        <f t="shared" si="119"/>
        <v>34675</v>
      </c>
      <c r="AF143" s="171">
        <f t="shared" si="119"/>
        <v>18906</v>
      </c>
      <c r="AG143" s="171">
        <f t="shared" si="119"/>
        <v>23183</v>
      </c>
      <c r="AH143" s="171">
        <f t="shared" si="119"/>
        <v>-8745</v>
      </c>
      <c r="AI143" s="171">
        <f t="shared" si="119"/>
        <v>-18953</v>
      </c>
      <c r="AJ143" s="171">
        <f>AJ18+AJ60</f>
        <v>-573</v>
      </c>
      <c r="AK143" s="171">
        <f t="shared" si="105"/>
        <v>-8812</v>
      </c>
      <c r="AL143" s="171">
        <v>15962</v>
      </c>
      <c r="AN143" s="173"/>
      <c r="AO143" s="173"/>
    </row>
    <row r="144" spans="2:41">
      <c r="B144" s="464"/>
      <c r="C144" s="34"/>
      <c r="D144" s="36" t="s">
        <v>609</v>
      </c>
      <c r="E144" s="216" t="s">
        <v>694</v>
      </c>
      <c r="F144" s="216" t="s">
        <v>694</v>
      </c>
      <c r="G144" s="216" t="s">
        <v>694</v>
      </c>
      <c r="H144" s="216" t="s">
        <v>694</v>
      </c>
      <c r="I144" s="216" t="s">
        <v>694</v>
      </c>
      <c r="J144" s="216" t="s">
        <v>694</v>
      </c>
      <c r="K144" s="171">
        <f>K19+K61+K104</f>
        <v>-483954</v>
      </c>
      <c r="L144" s="171">
        <f t="shared" si="114"/>
        <v>-151487</v>
      </c>
      <c r="M144" s="171">
        <f t="shared" si="114"/>
        <v>146075</v>
      </c>
      <c r="N144" s="171">
        <v>28086</v>
      </c>
      <c r="O144" s="171">
        <v>-77516</v>
      </c>
      <c r="P144" s="171">
        <v>45470</v>
      </c>
      <c r="R144" s="216" t="s">
        <v>694</v>
      </c>
      <c r="S144" s="216" t="s">
        <v>694</v>
      </c>
      <c r="T144" s="216" t="s">
        <v>694</v>
      </c>
      <c r="U144" s="216" t="s">
        <v>694</v>
      </c>
      <c r="V144" s="216" t="s">
        <v>694</v>
      </c>
      <c r="W144" s="216" t="s">
        <v>694</v>
      </c>
      <c r="X144" s="216" t="s">
        <v>694</v>
      </c>
      <c r="Y144" s="216" t="s">
        <v>694</v>
      </c>
      <c r="Z144" s="216" t="s">
        <v>694</v>
      </c>
      <c r="AA144" s="216" t="s">
        <v>694</v>
      </c>
      <c r="AB144" s="171">
        <f t="shared" ref="AB144:AH144" si="120">AB19+AB61+AB104</f>
        <v>11916</v>
      </c>
      <c r="AC144" s="171">
        <f t="shared" si="120"/>
        <v>-163403</v>
      </c>
      <c r="AD144" s="171">
        <f t="shared" si="120"/>
        <v>109438</v>
      </c>
      <c r="AE144" s="171">
        <f t="shared" si="120"/>
        <v>36637</v>
      </c>
      <c r="AF144" s="171">
        <f t="shared" si="120"/>
        <v>15074</v>
      </c>
      <c r="AG144" s="171">
        <f t="shared" si="120"/>
        <v>13012</v>
      </c>
      <c r="AH144" s="171">
        <f t="shared" si="120"/>
        <v>-39921</v>
      </c>
      <c r="AI144" s="171">
        <f>O144-AH144</f>
        <v>-37595</v>
      </c>
      <c r="AJ144" s="171">
        <f>AJ19+AJ61</f>
        <v>35991</v>
      </c>
      <c r="AK144" s="171">
        <f t="shared" si="105"/>
        <v>9479</v>
      </c>
      <c r="AL144" s="171">
        <v>-30028</v>
      </c>
      <c r="AN144" s="173"/>
      <c r="AO144" s="173"/>
    </row>
    <row r="145" spans="2:41">
      <c r="B145" s="464"/>
      <c r="C145" s="34"/>
      <c r="D145" s="36"/>
      <c r="E145" s="171"/>
      <c r="F145" s="171"/>
      <c r="G145" s="171"/>
      <c r="H145" s="171"/>
      <c r="I145" s="171"/>
      <c r="J145" s="171"/>
      <c r="K145" s="171"/>
      <c r="L145" s="171"/>
      <c r="M145" s="171"/>
      <c r="N145" s="171"/>
      <c r="O145" s="171"/>
      <c r="P145" s="171"/>
      <c r="R145" s="171"/>
      <c r="S145" s="171"/>
      <c r="T145" s="171"/>
      <c r="U145" s="171"/>
      <c r="V145" s="171"/>
      <c r="W145" s="171"/>
      <c r="X145" s="171"/>
      <c r="Y145" s="171"/>
      <c r="Z145" s="171"/>
      <c r="AA145" s="171"/>
      <c r="AB145" s="171"/>
      <c r="AC145" s="171"/>
      <c r="AD145" s="171"/>
      <c r="AE145" s="171"/>
      <c r="AF145" s="171"/>
      <c r="AG145" s="171"/>
      <c r="AH145" s="171"/>
      <c r="AI145" s="171"/>
      <c r="AJ145" s="171"/>
      <c r="AK145" s="171"/>
      <c r="AL145" s="171"/>
      <c r="AN145" s="173"/>
      <c r="AO145" s="173"/>
    </row>
    <row r="146" spans="2:41">
      <c r="B146" s="464"/>
      <c r="C146" s="34"/>
      <c r="D146" s="36" t="s">
        <v>610</v>
      </c>
      <c r="E146" s="171">
        <f t="shared" ref="E146:K146" si="121">E21+E63+E106</f>
        <v>0</v>
      </c>
      <c r="F146" s="171">
        <f t="shared" si="121"/>
        <v>0</v>
      </c>
      <c r="G146" s="171">
        <f t="shared" si="121"/>
        <v>0</v>
      </c>
      <c r="H146" s="171">
        <f t="shared" si="121"/>
        <v>0</v>
      </c>
      <c r="I146" s="171">
        <f t="shared" si="121"/>
        <v>0</v>
      </c>
      <c r="J146" s="171">
        <f t="shared" si="121"/>
        <v>0</v>
      </c>
      <c r="K146" s="171">
        <f t="shared" si="121"/>
        <v>0</v>
      </c>
      <c r="L146" s="171">
        <f>L106+L63+L21</f>
        <v>0</v>
      </c>
      <c r="M146" s="171">
        <f>M106+M63+M21</f>
        <v>0</v>
      </c>
      <c r="N146" s="171">
        <v>0</v>
      </c>
      <c r="O146" s="171">
        <v>0</v>
      </c>
      <c r="P146" s="171">
        <v>0</v>
      </c>
      <c r="R146" s="171">
        <f>R21+R63+R106</f>
        <v>0</v>
      </c>
      <c r="S146" s="171">
        <f t="shared" si="117"/>
        <v>0</v>
      </c>
      <c r="T146" s="171">
        <f t="shared" ref="T146:AI146" si="122">T21+T63+T106</f>
        <v>0</v>
      </c>
      <c r="U146" s="171">
        <f t="shared" si="122"/>
        <v>0</v>
      </c>
      <c r="V146" s="171">
        <f t="shared" si="122"/>
        <v>0</v>
      </c>
      <c r="W146" s="171">
        <f t="shared" si="122"/>
        <v>0</v>
      </c>
      <c r="X146" s="171">
        <f t="shared" si="122"/>
        <v>0</v>
      </c>
      <c r="Y146" s="171">
        <f t="shared" si="122"/>
        <v>0</v>
      </c>
      <c r="Z146" s="171">
        <f t="shared" si="122"/>
        <v>0</v>
      </c>
      <c r="AA146" s="171">
        <f t="shared" si="122"/>
        <v>0</v>
      </c>
      <c r="AB146" s="171">
        <f t="shared" si="122"/>
        <v>0</v>
      </c>
      <c r="AC146" s="171">
        <f t="shared" si="122"/>
        <v>0</v>
      </c>
      <c r="AD146" s="171">
        <f t="shared" si="122"/>
        <v>0</v>
      </c>
      <c r="AE146" s="171">
        <f t="shared" si="122"/>
        <v>0</v>
      </c>
      <c r="AF146" s="171">
        <f t="shared" si="122"/>
        <v>0</v>
      </c>
      <c r="AG146" s="171">
        <f t="shared" si="122"/>
        <v>0</v>
      </c>
      <c r="AH146" s="171">
        <f t="shared" si="122"/>
        <v>0</v>
      </c>
      <c r="AI146" s="171">
        <f t="shared" si="122"/>
        <v>0</v>
      </c>
      <c r="AJ146" s="171">
        <v>0</v>
      </c>
      <c r="AK146" s="171">
        <f t="shared" si="105"/>
        <v>0</v>
      </c>
      <c r="AL146" s="171">
        <v>0</v>
      </c>
      <c r="AN146" s="173"/>
      <c r="AO146" s="173"/>
    </row>
    <row r="147" spans="2:41">
      <c r="B147" s="464"/>
      <c r="C147" s="34"/>
      <c r="D147" s="63"/>
      <c r="E147" s="366"/>
      <c r="F147" s="366"/>
      <c r="G147" s="366"/>
      <c r="H147" s="366"/>
      <c r="I147" s="366"/>
      <c r="J147" s="366"/>
      <c r="K147" s="366"/>
      <c r="L147" s="366"/>
      <c r="M147" s="366"/>
      <c r="N147" s="366"/>
      <c r="O147" s="366"/>
      <c r="P147" s="366"/>
      <c r="R147" s="366"/>
      <c r="S147" s="366"/>
      <c r="T147" s="366"/>
      <c r="U147" s="366"/>
      <c r="V147" s="366"/>
      <c r="W147" s="366"/>
      <c r="X147" s="366"/>
      <c r="Y147" s="366"/>
      <c r="Z147" s="366"/>
      <c r="AA147" s="366"/>
      <c r="AB147" s="366"/>
      <c r="AC147" s="366"/>
      <c r="AD147" s="366"/>
      <c r="AE147" s="366"/>
      <c r="AF147" s="366"/>
      <c r="AG147" s="366"/>
      <c r="AH147" s="366"/>
      <c r="AI147" s="366"/>
      <c r="AJ147" s="366"/>
      <c r="AK147" s="366"/>
      <c r="AL147" s="366"/>
      <c r="AN147" s="173"/>
      <c r="AO147" s="173"/>
    </row>
    <row r="148" spans="2:41">
      <c r="B148" s="464"/>
      <c r="C148" s="34"/>
      <c r="D148" s="36" t="s">
        <v>10</v>
      </c>
      <c r="E148" s="171">
        <f t="shared" ref="E148:O148" si="123">E23+E65+E108</f>
        <v>194197</v>
      </c>
      <c r="F148" s="171">
        <f t="shared" si="123"/>
        <v>119363</v>
      </c>
      <c r="G148" s="171">
        <f t="shared" si="123"/>
        <v>203152</v>
      </c>
      <c r="H148" s="171">
        <f t="shared" si="123"/>
        <v>268529</v>
      </c>
      <c r="I148" s="171">
        <f t="shared" si="123"/>
        <v>187458</v>
      </c>
      <c r="J148" s="171">
        <f t="shared" si="123"/>
        <v>196511</v>
      </c>
      <c r="K148" s="171">
        <f t="shared" si="123"/>
        <v>-249376</v>
      </c>
      <c r="L148" s="171">
        <f t="shared" si="123"/>
        <v>14559</v>
      </c>
      <c r="M148" s="171">
        <f t="shared" si="123"/>
        <v>132881</v>
      </c>
      <c r="N148" s="171">
        <f t="shared" si="123"/>
        <v>-68759</v>
      </c>
      <c r="O148" s="171">
        <f t="shared" si="123"/>
        <v>-23864</v>
      </c>
      <c r="P148" s="171">
        <v>158229</v>
      </c>
      <c r="R148" s="171">
        <f>R23+R65+R108</f>
        <v>76088</v>
      </c>
      <c r="S148" s="171">
        <f t="shared" si="117"/>
        <v>127064</v>
      </c>
      <c r="T148" s="171">
        <f t="shared" ref="T148:AI148" si="124">T23+T65+T108</f>
        <v>160544</v>
      </c>
      <c r="U148" s="171">
        <f t="shared" si="124"/>
        <v>107985</v>
      </c>
      <c r="V148" s="171">
        <f t="shared" si="124"/>
        <v>132550</v>
      </c>
      <c r="W148" s="171">
        <f t="shared" si="124"/>
        <v>54908</v>
      </c>
      <c r="X148" s="171">
        <f t="shared" si="124"/>
        <v>98026</v>
      </c>
      <c r="Y148" s="171">
        <f t="shared" si="124"/>
        <v>98485</v>
      </c>
      <c r="Z148" s="171">
        <f t="shared" si="124"/>
        <v>111763</v>
      </c>
      <c r="AA148" s="171">
        <f t="shared" si="124"/>
        <v>-361139</v>
      </c>
      <c r="AB148" s="171">
        <f t="shared" si="124"/>
        <v>73616</v>
      </c>
      <c r="AC148" s="171">
        <f t="shared" si="124"/>
        <v>-59057</v>
      </c>
      <c r="AD148" s="171">
        <f t="shared" si="124"/>
        <v>175332</v>
      </c>
      <c r="AE148" s="171">
        <f t="shared" si="124"/>
        <v>-42451</v>
      </c>
      <c r="AF148" s="171">
        <f t="shared" si="124"/>
        <v>8061</v>
      </c>
      <c r="AG148" s="171">
        <f t="shared" si="124"/>
        <v>-76820</v>
      </c>
      <c r="AH148" s="171">
        <f t="shared" si="124"/>
        <v>14368</v>
      </c>
      <c r="AI148" s="171">
        <f t="shared" si="124"/>
        <v>-38232</v>
      </c>
      <c r="AJ148" s="171">
        <f>AJ23+AJ65</f>
        <v>105739</v>
      </c>
      <c r="AK148" s="171">
        <f t="shared" si="105"/>
        <v>52490</v>
      </c>
      <c r="AL148" s="171">
        <v>39132</v>
      </c>
      <c r="AN148" s="173"/>
      <c r="AO148" s="173"/>
    </row>
    <row r="149" spans="2:41">
      <c r="B149" s="464"/>
      <c r="C149" s="34"/>
      <c r="D149" s="41" t="s">
        <v>11</v>
      </c>
      <c r="E149" s="326">
        <f t="shared" ref="E149:K152" si="125">E24+E66+E109</f>
        <v>-39078</v>
      </c>
      <c r="F149" s="326">
        <f t="shared" si="125"/>
        <v>-8599</v>
      </c>
      <c r="G149" s="326">
        <f t="shared" si="125"/>
        <v>-23139</v>
      </c>
      <c r="H149" s="326">
        <f t="shared" si="125"/>
        <v>-69588</v>
      </c>
      <c r="I149" s="326">
        <f t="shared" si="125"/>
        <v>-27026</v>
      </c>
      <c r="J149" s="326">
        <f t="shared" si="125"/>
        <v>-39019</v>
      </c>
      <c r="K149" s="326">
        <f t="shared" si="125"/>
        <v>25459</v>
      </c>
      <c r="L149" s="326">
        <f>L109+L66+L24</f>
        <v>-10526</v>
      </c>
      <c r="M149" s="326">
        <f>M109+M66+M24</f>
        <v>-48970</v>
      </c>
      <c r="N149" s="326">
        <v>-31924</v>
      </c>
      <c r="O149" s="326">
        <v>-4359</v>
      </c>
      <c r="P149" s="326">
        <v>-29170</v>
      </c>
      <c r="R149" s="326">
        <f>R24+R66+R109</f>
        <v>-6974</v>
      </c>
      <c r="S149" s="326">
        <f t="shared" si="117"/>
        <v>-16165</v>
      </c>
      <c r="T149" s="326">
        <f t="shared" ref="T149:AI149" si="126">T24+T66+T109</f>
        <v>-52325</v>
      </c>
      <c r="U149" s="326">
        <f t="shared" si="126"/>
        <v>-17263</v>
      </c>
      <c r="V149" s="326">
        <f t="shared" si="126"/>
        <v>-35122</v>
      </c>
      <c r="W149" s="326">
        <f t="shared" si="126"/>
        <v>8096</v>
      </c>
      <c r="X149" s="326">
        <f t="shared" si="126"/>
        <v>-27169</v>
      </c>
      <c r="Y149" s="326">
        <f t="shared" si="126"/>
        <v>-11850</v>
      </c>
      <c r="Z149" s="326">
        <f t="shared" si="126"/>
        <v>-37156</v>
      </c>
      <c r="AA149" s="326">
        <f t="shared" si="126"/>
        <v>62615</v>
      </c>
      <c r="AB149" s="326">
        <f t="shared" si="126"/>
        <v>-21416</v>
      </c>
      <c r="AC149" s="326">
        <f t="shared" si="126"/>
        <v>10890</v>
      </c>
      <c r="AD149" s="326">
        <f t="shared" si="126"/>
        <v>-42850</v>
      </c>
      <c r="AE149" s="326">
        <f t="shared" si="126"/>
        <v>-6120</v>
      </c>
      <c r="AF149" s="326">
        <f t="shared" si="126"/>
        <v>-16564</v>
      </c>
      <c r="AG149" s="326">
        <f t="shared" si="126"/>
        <v>-15360</v>
      </c>
      <c r="AH149" s="326">
        <f t="shared" si="126"/>
        <v>-3748</v>
      </c>
      <c r="AI149" s="326">
        <f t="shared" si="126"/>
        <v>-611</v>
      </c>
      <c r="AJ149" s="326">
        <f>AJ24+AJ66</f>
        <v>-20084</v>
      </c>
      <c r="AK149" s="326">
        <f t="shared" si="105"/>
        <v>-9086</v>
      </c>
      <c r="AL149" s="326">
        <v>-4978</v>
      </c>
      <c r="AN149" s="173"/>
      <c r="AO149" s="173"/>
    </row>
    <row r="150" spans="2:41">
      <c r="B150" s="464"/>
      <c r="C150" s="34"/>
      <c r="D150" s="32" t="s">
        <v>611</v>
      </c>
      <c r="E150" s="350">
        <f t="shared" si="125"/>
        <v>155119</v>
      </c>
      <c r="F150" s="350">
        <f t="shared" si="125"/>
        <v>110764</v>
      </c>
      <c r="G150" s="350">
        <f t="shared" si="125"/>
        <v>180013</v>
      </c>
      <c r="H150" s="350">
        <f t="shared" si="125"/>
        <v>198941</v>
      </c>
      <c r="I150" s="350">
        <f t="shared" si="125"/>
        <v>160432</v>
      </c>
      <c r="J150" s="350">
        <f t="shared" si="125"/>
        <v>157492</v>
      </c>
      <c r="K150" s="350">
        <f t="shared" si="125"/>
        <v>-223917</v>
      </c>
      <c r="L150" s="350">
        <f>L25+L67+L110</f>
        <v>4033</v>
      </c>
      <c r="M150" s="350">
        <f>M25+M67+M110</f>
        <v>83911</v>
      </c>
      <c r="N150" s="350">
        <f>N25+N67+N110</f>
        <v>-100683</v>
      </c>
      <c r="O150" s="350">
        <f>O25+O67+O110</f>
        <v>-28223</v>
      </c>
      <c r="P150" s="350">
        <f>P149+P148</f>
        <v>129059</v>
      </c>
      <c r="R150" s="350">
        <f>R25+R67+R110</f>
        <v>69114</v>
      </c>
      <c r="S150" s="350">
        <f>S25+S67+S110</f>
        <v>110899</v>
      </c>
      <c r="T150" s="350">
        <f t="shared" ref="T150:AI150" si="127">T25+T67+T110</f>
        <v>108219</v>
      </c>
      <c r="U150" s="350">
        <f t="shared" si="127"/>
        <v>90722</v>
      </c>
      <c r="V150" s="350">
        <f t="shared" si="127"/>
        <v>97428</v>
      </c>
      <c r="W150" s="350">
        <f t="shared" si="127"/>
        <v>63004</v>
      </c>
      <c r="X150" s="350">
        <f t="shared" si="127"/>
        <v>70857</v>
      </c>
      <c r="Y150" s="350">
        <f t="shared" si="127"/>
        <v>86635</v>
      </c>
      <c r="Z150" s="350">
        <f t="shared" si="127"/>
        <v>74607</v>
      </c>
      <c r="AA150" s="350">
        <f t="shared" si="127"/>
        <v>-298524</v>
      </c>
      <c r="AB150" s="350">
        <f t="shared" si="127"/>
        <v>52200</v>
      </c>
      <c r="AC150" s="350">
        <f t="shared" si="127"/>
        <v>-48167</v>
      </c>
      <c r="AD150" s="350">
        <f t="shared" si="127"/>
        <v>132482</v>
      </c>
      <c r="AE150" s="350">
        <f t="shared" si="127"/>
        <v>-48571</v>
      </c>
      <c r="AF150" s="350">
        <f t="shared" si="127"/>
        <v>-8503</v>
      </c>
      <c r="AG150" s="350">
        <f t="shared" si="127"/>
        <v>-92180</v>
      </c>
      <c r="AH150" s="350">
        <f t="shared" si="127"/>
        <v>10620</v>
      </c>
      <c r="AI150" s="350">
        <f t="shared" si="127"/>
        <v>-38843</v>
      </c>
      <c r="AJ150" s="350">
        <f>AJ25+AJ67</f>
        <v>85655</v>
      </c>
      <c r="AK150" s="350">
        <f t="shared" si="105"/>
        <v>43404</v>
      </c>
      <c r="AL150" s="350">
        <v>34154</v>
      </c>
      <c r="AN150" s="173"/>
      <c r="AO150" s="173"/>
    </row>
    <row r="151" spans="2:41">
      <c r="B151" s="464"/>
      <c r="C151" s="34"/>
      <c r="D151" s="35"/>
      <c r="E151" s="170">
        <f t="shared" si="125"/>
        <v>0</v>
      </c>
      <c r="F151" s="170">
        <f t="shared" si="125"/>
        <v>0</v>
      </c>
      <c r="G151" s="170">
        <f t="shared" si="125"/>
        <v>0</v>
      </c>
      <c r="H151" s="170">
        <f t="shared" si="125"/>
        <v>0</v>
      </c>
      <c r="I151" s="170">
        <f t="shared" si="125"/>
        <v>0</v>
      </c>
      <c r="J151" s="170">
        <f t="shared" si="125"/>
        <v>0</v>
      </c>
      <c r="K151" s="170">
        <f t="shared" si="125"/>
        <v>0</v>
      </c>
      <c r="L151" s="170">
        <f>L111+L68+L26</f>
        <v>0</v>
      </c>
      <c r="M151" s="170">
        <f>M111+M68+M26</f>
        <v>0</v>
      </c>
      <c r="N151" s="170"/>
      <c r="O151" s="170"/>
      <c r="P151" s="170"/>
      <c r="R151" s="170">
        <f>R26+R68+R111</f>
        <v>0</v>
      </c>
      <c r="S151" s="170">
        <f t="shared" si="117"/>
        <v>0</v>
      </c>
      <c r="T151" s="170">
        <f t="shared" ref="T151:AH151" si="128">T26+T68+T111</f>
        <v>0</v>
      </c>
      <c r="U151" s="170">
        <f t="shared" si="128"/>
        <v>0</v>
      </c>
      <c r="V151" s="170">
        <f t="shared" si="128"/>
        <v>0</v>
      </c>
      <c r="W151" s="170">
        <f t="shared" si="128"/>
        <v>0</v>
      </c>
      <c r="X151" s="170">
        <f t="shared" si="128"/>
        <v>0</v>
      </c>
      <c r="Y151" s="170">
        <f t="shared" si="128"/>
        <v>0</v>
      </c>
      <c r="Z151" s="170">
        <f t="shared" si="128"/>
        <v>0</v>
      </c>
      <c r="AA151" s="170">
        <f t="shared" si="128"/>
        <v>0</v>
      </c>
      <c r="AB151" s="170">
        <f t="shared" si="128"/>
        <v>0</v>
      </c>
      <c r="AC151" s="170">
        <f t="shared" si="128"/>
        <v>0</v>
      </c>
      <c r="AD151" s="170">
        <f t="shared" si="128"/>
        <v>0</v>
      </c>
      <c r="AE151" s="170">
        <f t="shared" si="128"/>
        <v>0</v>
      </c>
      <c r="AF151" s="170">
        <f t="shared" si="128"/>
        <v>0</v>
      </c>
      <c r="AG151" s="170">
        <f t="shared" si="128"/>
        <v>0</v>
      </c>
      <c r="AH151" s="170">
        <f t="shared" si="128"/>
        <v>0</v>
      </c>
      <c r="AI151" s="170"/>
      <c r="AJ151" s="170"/>
      <c r="AK151" s="170"/>
      <c r="AL151" s="170"/>
      <c r="AN151" s="173"/>
      <c r="AO151" s="173"/>
    </row>
    <row r="152" spans="2:41">
      <c r="B152" s="464"/>
      <c r="C152" s="34"/>
      <c r="D152" s="63" t="s">
        <v>612</v>
      </c>
      <c r="E152" s="366">
        <f t="shared" si="125"/>
        <v>199418</v>
      </c>
      <c r="F152" s="366">
        <f t="shared" si="125"/>
        <v>61697</v>
      </c>
      <c r="G152" s="366">
        <f t="shared" si="125"/>
        <v>68564</v>
      </c>
      <c r="H152" s="366">
        <f t="shared" si="125"/>
        <v>148971</v>
      </c>
      <c r="I152" s="366">
        <f t="shared" si="125"/>
        <v>94259</v>
      </c>
      <c r="J152" s="366">
        <f t="shared" si="125"/>
        <v>78966</v>
      </c>
      <c r="K152" s="366">
        <f t="shared" si="125"/>
        <v>32276</v>
      </c>
      <c r="L152" s="366">
        <f>L112+L69+L27</f>
        <v>17629</v>
      </c>
      <c r="M152" s="366">
        <f>M112+M69+M27</f>
        <v>23143</v>
      </c>
      <c r="N152" s="366">
        <v>30193</v>
      </c>
      <c r="O152" s="366">
        <v>47610</v>
      </c>
      <c r="P152" s="366">
        <v>27975</v>
      </c>
      <c r="R152" s="366">
        <f>R27+R69+R112</f>
        <v>20983</v>
      </c>
      <c r="S152" s="366">
        <f>S27+S69+S112</f>
        <v>47581</v>
      </c>
      <c r="T152" s="366">
        <f t="shared" ref="T152:AI152" si="129">T27+T69+T112</f>
        <v>53499</v>
      </c>
      <c r="U152" s="366">
        <f t="shared" si="129"/>
        <v>95472</v>
      </c>
      <c r="V152" s="366">
        <f t="shared" si="129"/>
        <v>43653</v>
      </c>
      <c r="W152" s="366">
        <f t="shared" si="129"/>
        <v>50606</v>
      </c>
      <c r="X152" s="366">
        <f t="shared" si="129"/>
        <v>23205</v>
      </c>
      <c r="Y152" s="366">
        <f t="shared" si="129"/>
        <v>55761</v>
      </c>
      <c r="Z152" s="366">
        <f t="shared" si="129"/>
        <v>17554</v>
      </c>
      <c r="AA152" s="366">
        <f t="shared" si="129"/>
        <v>14722</v>
      </c>
      <c r="AB152" s="366">
        <f t="shared" si="129"/>
        <v>8860</v>
      </c>
      <c r="AC152" s="366">
        <f t="shared" si="129"/>
        <v>8769</v>
      </c>
      <c r="AD152" s="366">
        <f t="shared" si="129"/>
        <v>7216</v>
      </c>
      <c r="AE152" s="366">
        <f t="shared" si="129"/>
        <v>15927</v>
      </c>
      <c r="AF152" s="366">
        <f t="shared" si="129"/>
        <v>8704</v>
      </c>
      <c r="AG152" s="366">
        <f t="shared" si="129"/>
        <v>21489</v>
      </c>
      <c r="AH152" s="366">
        <f t="shared" si="129"/>
        <v>15831</v>
      </c>
      <c r="AI152" s="366">
        <f t="shared" si="129"/>
        <v>31779</v>
      </c>
      <c r="AJ152" s="366">
        <f>AJ27+AJ69</f>
        <v>5540</v>
      </c>
      <c r="AK152" s="366">
        <f t="shared" si="105"/>
        <v>22435</v>
      </c>
      <c r="AL152" s="366">
        <v>14796</v>
      </c>
      <c r="AN152" s="173"/>
      <c r="AO152" s="173"/>
    </row>
    <row r="153" spans="2:41">
      <c r="B153" s="464"/>
      <c r="C153" s="34"/>
      <c r="D153" s="36"/>
      <c r="E153" s="171">
        <v>0</v>
      </c>
      <c r="F153" s="171">
        <v>0</v>
      </c>
      <c r="G153" s="171">
        <v>0</v>
      </c>
      <c r="H153" s="171">
        <v>0</v>
      </c>
      <c r="I153" s="171">
        <v>0</v>
      </c>
      <c r="J153" s="171">
        <v>0</v>
      </c>
      <c r="K153" s="171"/>
      <c r="L153" s="171">
        <v>0</v>
      </c>
      <c r="M153" s="171">
        <v>0</v>
      </c>
      <c r="N153" s="171"/>
      <c r="O153" s="171"/>
      <c r="P153" s="171"/>
      <c r="R153" s="171"/>
      <c r="S153" s="171">
        <v>0</v>
      </c>
      <c r="T153" s="171"/>
      <c r="U153" s="171"/>
      <c r="V153" s="171"/>
      <c r="W153" s="171"/>
      <c r="X153" s="171"/>
      <c r="Y153" s="171"/>
      <c r="Z153" s="171"/>
      <c r="AA153" s="171"/>
      <c r="AB153" s="171"/>
      <c r="AC153" s="171"/>
      <c r="AD153" s="171"/>
      <c r="AE153" s="171"/>
      <c r="AF153" s="171"/>
      <c r="AG153" s="171"/>
      <c r="AH153" s="171"/>
      <c r="AI153" s="171"/>
      <c r="AJ153" s="171"/>
      <c r="AK153" s="171"/>
      <c r="AL153" s="171"/>
      <c r="AN153" s="173"/>
      <c r="AO153" s="173"/>
    </row>
    <row r="154" spans="2:41">
      <c r="B154" s="464"/>
      <c r="C154" s="34"/>
      <c r="D154" s="36" t="s">
        <v>613</v>
      </c>
      <c r="E154" s="171">
        <v>1078725</v>
      </c>
      <c r="F154" s="171">
        <v>1086852</v>
      </c>
      <c r="G154" s="171">
        <v>1074027</v>
      </c>
      <c r="H154" s="171">
        <v>1102003</v>
      </c>
      <c r="I154" s="171">
        <v>1119314</v>
      </c>
      <c r="J154" s="171">
        <v>1713737</v>
      </c>
      <c r="K154" s="171">
        <v>1000994</v>
      </c>
      <c r="L154" s="171">
        <v>715892</v>
      </c>
      <c r="M154" s="171">
        <v>780138</v>
      </c>
      <c r="N154" s="171">
        <v>644552</v>
      </c>
      <c r="O154" s="171">
        <v>522244</v>
      </c>
      <c r="P154" s="171">
        <v>540250</v>
      </c>
      <c r="R154" s="171">
        <v>1015978</v>
      </c>
      <c r="S154" s="171">
        <f>G154</f>
        <v>1074027</v>
      </c>
      <c r="T154" s="171">
        <v>1189812</v>
      </c>
      <c r="U154" s="171">
        <f>H154</f>
        <v>1102003</v>
      </c>
      <c r="V154" s="171">
        <v>1096280</v>
      </c>
      <c r="W154" s="171">
        <f>I154</f>
        <v>1119314</v>
      </c>
      <c r="X154" s="171">
        <v>1065955</v>
      </c>
      <c r="Y154" s="171">
        <f>J154</f>
        <v>1713737</v>
      </c>
      <c r="Z154" s="171">
        <v>1607128</v>
      </c>
      <c r="AA154" s="171">
        <f>K154</f>
        <v>1000994</v>
      </c>
      <c r="AB154" s="171">
        <v>914731</v>
      </c>
      <c r="AC154" s="171">
        <f>L154</f>
        <v>715892</v>
      </c>
      <c r="AD154" s="171">
        <v>768252</v>
      </c>
      <c r="AE154" s="171">
        <f>M154</f>
        <v>780138</v>
      </c>
      <c r="AF154" s="171">
        <v>753595</v>
      </c>
      <c r="AG154" s="171">
        <f>N154</f>
        <v>644552</v>
      </c>
      <c r="AH154" s="171">
        <v>588198</v>
      </c>
      <c r="AI154" s="171">
        <f>O154</f>
        <v>522244</v>
      </c>
      <c r="AJ154" s="171">
        <f>AJ29+AJ71</f>
        <v>530513</v>
      </c>
      <c r="AK154" s="171">
        <f>P154</f>
        <v>540250</v>
      </c>
      <c r="AL154" s="171">
        <v>478954</v>
      </c>
      <c r="AN154" s="173"/>
      <c r="AO154" s="173"/>
    </row>
    <row r="155" spans="2:41">
      <c r="B155" s="464"/>
      <c r="C155" s="34"/>
      <c r="D155" s="36" t="s">
        <v>720</v>
      </c>
      <c r="E155" s="216" t="s">
        <v>694</v>
      </c>
      <c r="F155" s="216" t="s">
        <v>694</v>
      </c>
      <c r="G155" s="216" t="s">
        <v>694</v>
      </c>
      <c r="H155" s="216" t="s">
        <v>694</v>
      </c>
      <c r="I155" s="216" t="s">
        <v>694</v>
      </c>
      <c r="J155" s="216" t="s">
        <v>694</v>
      </c>
      <c r="K155" s="216" t="s">
        <v>694</v>
      </c>
      <c r="L155" s="216" t="s">
        <v>694</v>
      </c>
      <c r="M155" s="216" t="s">
        <v>694</v>
      </c>
      <c r="N155" s="216" t="s">
        <v>694</v>
      </c>
      <c r="O155" s="216" t="s">
        <v>694</v>
      </c>
      <c r="P155" s="401">
        <v>644199</v>
      </c>
      <c r="R155" s="216" t="s">
        <v>694</v>
      </c>
      <c r="S155" s="216" t="s">
        <v>694</v>
      </c>
      <c r="T155" s="216" t="s">
        <v>694</v>
      </c>
      <c r="U155" s="216" t="s">
        <v>694</v>
      </c>
      <c r="V155" s="216" t="s">
        <v>694</v>
      </c>
      <c r="W155" s="216" t="s">
        <v>694</v>
      </c>
      <c r="X155" s="216" t="s">
        <v>694</v>
      </c>
      <c r="Y155" s="216" t="s">
        <v>694</v>
      </c>
      <c r="Z155" s="216" t="s">
        <v>694</v>
      </c>
      <c r="AA155" s="216" t="s">
        <v>694</v>
      </c>
      <c r="AB155" s="216" t="s">
        <v>694</v>
      </c>
      <c r="AC155" s="216" t="s">
        <v>694</v>
      </c>
      <c r="AD155" s="216" t="s">
        <v>694</v>
      </c>
      <c r="AE155" s="216" t="s">
        <v>694</v>
      </c>
      <c r="AF155" s="216" t="s">
        <v>694</v>
      </c>
      <c r="AG155" s="216" t="s">
        <v>694</v>
      </c>
      <c r="AH155" s="216" t="s">
        <v>694</v>
      </c>
      <c r="AI155" s="216" t="s">
        <v>694</v>
      </c>
      <c r="AJ155" s="171">
        <f>AJ30+AJ72</f>
        <v>637055</v>
      </c>
      <c r="AK155" s="171">
        <f t="shared" ref="AK155:AK171" si="130">P155</f>
        <v>644199</v>
      </c>
      <c r="AL155" s="171">
        <v>566500</v>
      </c>
      <c r="AN155" s="173"/>
      <c r="AO155" s="173"/>
    </row>
    <row r="156" spans="2:41">
      <c r="B156" s="464"/>
      <c r="C156" s="34"/>
      <c r="D156" s="36" t="s">
        <v>22</v>
      </c>
      <c r="E156" s="171"/>
      <c r="F156" s="171">
        <v>0</v>
      </c>
      <c r="G156" s="171">
        <v>0</v>
      </c>
      <c r="H156" s="171">
        <v>0</v>
      </c>
      <c r="I156" s="171">
        <v>0</v>
      </c>
      <c r="J156" s="171">
        <v>0</v>
      </c>
      <c r="K156" s="171">
        <v>0</v>
      </c>
      <c r="L156" s="171">
        <v>0</v>
      </c>
      <c r="M156" s="171">
        <v>0</v>
      </c>
      <c r="N156" s="171">
        <v>784</v>
      </c>
      <c r="O156" s="171">
        <v>784</v>
      </c>
      <c r="P156" s="171">
        <v>784</v>
      </c>
      <c r="R156" s="171">
        <v>0</v>
      </c>
      <c r="S156" s="171">
        <f t="shared" ref="S156:S171" si="131">G156</f>
        <v>0</v>
      </c>
      <c r="T156" s="171">
        <v>0</v>
      </c>
      <c r="U156" s="171">
        <f t="shared" ref="U156:U170" si="132">H156</f>
        <v>0</v>
      </c>
      <c r="V156" s="171">
        <v>0</v>
      </c>
      <c r="W156" s="171">
        <f t="shared" ref="W156:W170" si="133">I156</f>
        <v>0</v>
      </c>
      <c r="X156" s="171">
        <v>0</v>
      </c>
      <c r="Y156" s="171">
        <f t="shared" ref="Y156:Y170" si="134">J156</f>
        <v>0</v>
      </c>
      <c r="Z156" s="171">
        <v>0</v>
      </c>
      <c r="AA156" s="171">
        <f t="shared" ref="AA156:AA170" si="135">K156</f>
        <v>0</v>
      </c>
      <c r="AB156" s="171">
        <v>0</v>
      </c>
      <c r="AC156" s="171">
        <f t="shared" ref="AC156:AC170" si="136">L156</f>
        <v>0</v>
      </c>
      <c r="AD156" s="171">
        <v>0</v>
      </c>
      <c r="AE156" s="171">
        <f t="shared" ref="AE156:AE170" si="137">M156</f>
        <v>0</v>
      </c>
      <c r="AF156" s="171">
        <v>0</v>
      </c>
      <c r="AG156" s="171">
        <f t="shared" ref="AG156:AG171" si="138">N156</f>
        <v>784</v>
      </c>
      <c r="AH156" s="171">
        <v>784</v>
      </c>
      <c r="AI156" s="171">
        <f t="shared" ref="AI156:AI171" si="139">O156</f>
        <v>784</v>
      </c>
      <c r="AJ156" s="171">
        <f>AJ31+AJ73</f>
        <v>784</v>
      </c>
      <c r="AK156" s="171">
        <f t="shared" si="130"/>
        <v>784</v>
      </c>
      <c r="AL156" s="171">
        <v>784</v>
      </c>
      <c r="AN156" s="173"/>
      <c r="AO156" s="173"/>
    </row>
    <row r="157" spans="2:41">
      <c r="B157" s="464"/>
      <c r="C157" s="34"/>
      <c r="D157" s="36" t="s">
        <v>21</v>
      </c>
      <c r="E157" s="171"/>
      <c r="F157" s="171">
        <v>0</v>
      </c>
      <c r="G157" s="171">
        <v>0</v>
      </c>
      <c r="H157" s="171">
        <v>0</v>
      </c>
      <c r="I157" s="171">
        <v>0</v>
      </c>
      <c r="J157" s="171">
        <v>1569626</v>
      </c>
      <c r="K157" s="171">
        <v>918914</v>
      </c>
      <c r="L157" s="171">
        <v>704730</v>
      </c>
      <c r="M157" s="171">
        <v>693336</v>
      </c>
      <c r="N157" s="171">
        <v>719144</v>
      </c>
      <c r="O157" s="171">
        <v>566177</v>
      </c>
      <c r="P157" s="171">
        <v>15238</v>
      </c>
      <c r="R157" s="171">
        <v>0</v>
      </c>
      <c r="S157" s="171">
        <f t="shared" si="131"/>
        <v>0</v>
      </c>
      <c r="T157" s="171">
        <v>0</v>
      </c>
      <c r="U157" s="171">
        <f t="shared" si="132"/>
        <v>0</v>
      </c>
      <c r="V157" s="171">
        <v>0</v>
      </c>
      <c r="W157" s="171">
        <f t="shared" si="133"/>
        <v>0</v>
      </c>
      <c r="X157" s="171">
        <v>0</v>
      </c>
      <c r="Y157" s="171">
        <f t="shared" si="134"/>
        <v>1569626</v>
      </c>
      <c r="Z157" s="171">
        <v>1514328</v>
      </c>
      <c r="AA157" s="171">
        <f t="shared" si="135"/>
        <v>918914</v>
      </c>
      <c r="AB157" s="171">
        <v>916494</v>
      </c>
      <c r="AC157" s="171">
        <f t="shared" si="136"/>
        <v>704730</v>
      </c>
      <c r="AD157" s="171">
        <v>784598</v>
      </c>
      <c r="AE157" s="171">
        <f t="shared" si="137"/>
        <v>693336</v>
      </c>
      <c r="AF157" s="171">
        <v>707509</v>
      </c>
      <c r="AG157" s="171">
        <f t="shared" si="138"/>
        <v>719144</v>
      </c>
      <c r="AH157" s="171">
        <v>653660</v>
      </c>
      <c r="AI157" s="171">
        <f t="shared" si="139"/>
        <v>566177</v>
      </c>
      <c r="AJ157" s="171">
        <f>AJ32+AJ74</f>
        <v>15606</v>
      </c>
      <c r="AK157" s="171">
        <f t="shared" si="130"/>
        <v>15238</v>
      </c>
      <c r="AL157" s="171">
        <v>13752</v>
      </c>
      <c r="AN157" s="173"/>
      <c r="AO157" s="173"/>
    </row>
    <row r="158" spans="2:41">
      <c r="B158" s="464"/>
      <c r="C158" s="34"/>
      <c r="D158" s="36" t="s">
        <v>614</v>
      </c>
      <c r="E158" s="171">
        <v>314204</v>
      </c>
      <c r="F158" s="171">
        <v>309437</v>
      </c>
      <c r="G158" s="171">
        <v>286658</v>
      </c>
      <c r="H158" s="171">
        <v>263956</v>
      </c>
      <c r="I158" s="171">
        <v>348654</v>
      </c>
      <c r="J158" s="171">
        <v>121041</v>
      </c>
      <c r="K158" s="171">
        <v>1113909</v>
      </c>
      <c r="L158" s="171">
        <v>1266770</v>
      </c>
      <c r="M158" s="171">
        <v>238826</v>
      </c>
      <c r="N158" s="171">
        <v>274736</v>
      </c>
      <c r="O158" s="171">
        <v>233684</v>
      </c>
      <c r="P158" s="171">
        <v>229829</v>
      </c>
      <c r="R158" s="171">
        <v>284897</v>
      </c>
      <c r="S158" s="171">
        <f t="shared" si="131"/>
        <v>286658</v>
      </c>
      <c r="T158" s="171">
        <v>331792</v>
      </c>
      <c r="U158" s="171">
        <f t="shared" si="132"/>
        <v>263956</v>
      </c>
      <c r="V158" s="171">
        <v>258620</v>
      </c>
      <c r="W158" s="171">
        <f t="shared" si="133"/>
        <v>348654</v>
      </c>
      <c r="X158" s="171">
        <v>284977</v>
      </c>
      <c r="Y158" s="171">
        <f t="shared" si="134"/>
        <v>121041</v>
      </c>
      <c r="Z158" s="171">
        <v>1093196</v>
      </c>
      <c r="AA158" s="171">
        <f t="shared" si="135"/>
        <v>1113909</v>
      </c>
      <c r="AB158" s="171">
        <v>1183147</v>
      </c>
      <c r="AC158" s="171">
        <f t="shared" si="136"/>
        <v>1266770</v>
      </c>
      <c r="AD158" s="171">
        <v>163555</v>
      </c>
      <c r="AE158" s="171">
        <f t="shared" si="137"/>
        <v>238826</v>
      </c>
      <c r="AF158" s="171">
        <v>243302</v>
      </c>
      <c r="AG158" s="171">
        <f t="shared" si="138"/>
        <v>274736</v>
      </c>
      <c r="AH158" s="171">
        <v>263187</v>
      </c>
      <c r="AI158" s="171">
        <f t="shared" si="139"/>
        <v>233684</v>
      </c>
      <c r="AJ158" s="171">
        <f>AJ75+AJ33</f>
        <v>226241</v>
      </c>
      <c r="AK158" s="171">
        <f t="shared" si="130"/>
        <v>229829</v>
      </c>
      <c r="AL158" s="171">
        <v>216285</v>
      </c>
      <c r="AN158" s="173"/>
      <c r="AO158" s="173"/>
    </row>
    <row r="159" spans="2:41">
      <c r="B159" s="464"/>
      <c r="C159" s="34"/>
      <c r="D159" s="36" t="s">
        <v>28</v>
      </c>
      <c r="E159" s="171">
        <v>6939</v>
      </c>
      <c r="F159" s="171">
        <v>6028</v>
      </c>
      <c r="G159" s="171">
        <v>7547</v>
      </c>
      <c r="H159" s="171">
        <v>7589</v>
      </c>
      <c r="I159" s="171">
        <v>7320</v>
      </c>
      <c r="J159" s="171">
        <v>10737</v>
      </c>
      <c r="K159" s="171">
        <v>7770</v>
      </c>
      <c r="L159" s="171">
        <v>6734</v>
      </c>
      <c r="M159" s="171">
        <v>7535</v>
      </c>
      <c r="N159" s="171">
        <v>8653</v>
      </c>
      <c r="O159" s="171">
        <v>9160</v>
      </c>
      <c r="P159" s="171">
        <v>8915</v>
      </c>
      <c r="R159" s="171">
        <v>7631</v>
      </c>
      <c r="S159" s="171">
        <f t="shared" si="131"/>
        <v>7547</v>
      </c>
      <c r="T159" s="171">
        <v>9342</v>
      </c>
      <c r="U159" s="171">
        <f t="shared" si="132"/>
        <v>7589</v>
      </c>
      <c r="V159" s="171">
        <v>7364</v>
      </c>
      <c r="W159" s="171">
        <f t="shared" si="133"/>
        <v>7320</v>
      </c>
      <c r="X159" s="171">
        <v>7577</v>
      </c>
      <c r="Y159" s="171">
        <f t="shared" si="134"/>
        <v>10737</v>
      </c>
      <c r="Z159" s="171">
        <v>11993</v>
      </c>
      <c r="AA159" s="171">
        <f t="shared" si="135"/>
        <v>7770</v>
      </c>
      <c r="AB159" s="171">
        <v>7889</v>
      </c>
      <c r="AC159" s="171">
        <f t="shared" si="136"/>
        <v>6734</v>
      </c>
      <c r="AD159" s="171">
        <v>6893</v>
      </c>
      <c r="AE159" s="171">
        <f t="shared" si="137"/>
        <v>7535</v>
      </c>
      <c r="AF159" s="171">
        <v>8040</v>
      </c>
      <c r="AG159" s="171">
        <f t="shared" si="138"/>
        <v>8653</v>
      </c>
      <c r="AH159" s="171">
        <v>8881</v>
      </c>
      <c r="AI159" s="171">
        <f t="shared" si="139"/>
        <v>9160</v>
      </c>
      <c r="AJ159" s="171">
        <f>AJ34+AJ76</f>
        <v>7713</v>
      </c>
      <c r="AK159" s="171">
        <f t="shared" si="130"/>
        <v>8915</v>
      </c>
      <c r="AL159" s="171">
        <v>8563</v>
      </c>
      <c r="AN159" s="173"/>
      <c r="AO159" s="173"/>
    </row>
    <row r="160" spans="2:41">
      <c r="B160" s="464"/>
      <c r="C160" s="34"/>
      <c r="D160" s="36" t="s">
        <v>724</v>
      </c>
      <c r="E160" s="171">
        <v>103563</v>
      </c>
      <c r="F160" s="171">
        <v>62936</v>
      </c>
      <c r="G160" s="171">
        <v>109200</v>
      </c>
      <c r="H160" s="171">
        <v>83542</v>
      </c>
      <c r="I160" s="171">
        <v>99910</v>
      </c>
      <c r="J160" s="171">
        <v>941021</v>
      </c>
      <c r="K160" s="171">
        <v>116535</v>
      </c>
      <c r="L160" s="171">
        <v>102432</v>
      </c>
      <c r="M160" s="171">
        <v>80837</v>
      </c>
      <c r="N160" s="171">
        <v>76977</v>
      </c>
      <c r="O160" s="171">
        <v>58179</v>
      </c>
      <c r="P160" s="171">
        <v>61275</v>
      </c>
      <c r="R160" s="171">
        <v>61337</v>
      </c>
      <c r="S160" s="171">
        <f t="shared" si="131"/>
        <v>109200</v>
      </c>
      <c r="T160" s="171">
        <v>89157</v>
      </c>
      <c r="U160" s="171">
        <f t="shared" si="132"/>
        <v>83542</v>
      </c>
      <c r="V160" s="171">
        <v>81784</v>
      </c>
      <c r="W160" s="171">
        <f t="shared" si="133"/>
        <v>99910</v>
      </c>
      <c r="X160" s="171">
        <v>71763</v>
      </c>
      <c r="Y160" s="171">
        <f t="shared" si="134"/>
        <v>941021</v>
      </c>
      <c r="Z160" s="171">
        <v>12637</v>
      </c>
      <c r="AA160" s="171">
        <f t="shared" si="135"/>
        <v>116535</v>
      </c>
      <c r="AB160" s="171">
        <v>91084</v>
      </c>
      <c r="AC160" s="171">
        <f t="shared" si="136"/>
        <v>102432</v>
      </c>
      <c r="AD160" s="171">
        <v>65797</v>
      </c>
      <c r="AE160" s="171">
        <f t="shared" si="137"/>
        <v>80837</v>
      </c>
      <c r="AF160" s="171">
        <v>96397</v>
      </c>
      <c r="AG160" s="171">
        <f t="shared" si="138"/>
        <v>76977</v>
      </c>
      <c r="AH160" s="171">
        <v>69418</v>
      </c>
      <c r="AI160" s="171">
        <f t="shared" si="139"/>
        <v>58179</v>
      </c>
      <c r="AJ160" s="171">
        <f>AJ35+AJ77</f>
        <v>65055</v>
      </c>
      <c r="AK160" s="171">
        <f t="shared" si="130"/>
        <v>61275</v>
      </c>
      <c r="AL160" s="171">
        <v>68757</v>
      </c>
      <c r="AN160" s="173"/>
      <c r="AO160" s="173"/>
    </row>
    <row r="161" spans="2:41">
      <c r="B161" s="464"/>
      <c r="C161" s="34"/>
      <c r="D161" s="36" t="s">
        <v>616</v>
      </c>
      <c r="E161" s="171">
        <f t="shared" ref="E161:J162" si="140">E36+E78+E120</f>
        <v>100002</v>
      </c>
      <c r="F161" s="171">
        <f t="shared" si="140"/>
        <v>40660</v>
      </c>
      <c r="G161" s="171">
        <f t="shared" si="140"/>
        <v>42237</v>
      </c>
      <c r="H161" s="171">
        <f t="shared" si="140"/>
        <v>53156</v>
      </c>
      <c r="I161" s="171">
        <f t="shared" si="140"/>
        <v>84534</v>
      </c>
      <c r="J161" s="171">
        <f t="shared" si="140"/>
        <v>107734</v>
      </c>
      <c r="K161" s="171">
        <f t="shared" ref="K161:M162" si="141">K120+K78+K36</f>
        <v>86253</v>
      </c>
      <c r="L161" s="171">
        <f t="shared" si="141"/>
        <v>125065</v>
      </c>
      <c r="M161" s="171">
        <f t="shared" si="141"/>
        <v>131982</v>
      </c>
      <c r="N161" s="171">
        <v>142997</v>
      </c>
      <c r="O161" s="171">
        <v>99621</v>
      </c>
      <c r="P161" s="171">
        <v>129985</v>
      </c>
      <c r="R161" s="171">
        <v>60972</v>
      </c>
      <c r="S161" s="171">
        <f t="shared" si="131"/>
        <v>42237</v>
      </c>
      <c r="T161" s="171">
        <f>T120+T78+T36</f>
        <v>42882</v>
      </c>
      <c r="U161" s="171">
        <f t="shared" si="132"/>
        <v>53156</v>
      </c>
      <c r="V161" s="171">
        <v>111274</v>
      </c>
      <c r="W161" s="171">
        <f t="shared" si="133"/>
        <v>84534</v>
      </c>
      <c r="X161" s="171">
        <f>X120+X78+X36</f>
        <v>87244</v>
      </c>
      <c r="Y161" s="171">
        <f t="shared" si="134"/>
        <v>107734</v>
      </c>
      <c r="Z161" s="171">
        <v>127050</v>
      </c>
      <c r="AA161" s="171">
        <f t="shared" si="135"/>
        <v>86253</v>
      </c>
      <c r="AB161" s="171">
        <f>AB120+AB78+AB36</f>
        <v>129868</v>
      </c>
      <c r="AC161" s="171">
        <f t="shared" si="136"/>
        <v>125065</v>
      </c>
      <c r="AD161" s="171">
        <f>AD120+AD78+AD36</f>
        <v>147663</v>
      </c>
      <c r="AE161" s="171">
        <f t="shared" si="137"/>
        <v>131982</v>
      </c>
      <c r="AF161" s="171">
        <f>AF120+AF78+AF36</f>
        <v>135267</v>
      </c>
      <c r="AG161" s="171">
        <f t="shared" si="138"/>
        <v>142997</v>
      </c>
      <c r="AH161" s="171">
        <f>AH120+AH78+AH36</f>
        <v>143471</v>
      </c>
      <c r="AI161" s="171">
        <f t="shared" si="139"/>
        <v>99621</v>
      </c>
      <c r="AJ161" s="171">
        <f>AJ36+AJ78</f>
        <v>145854</v>
      </c>
      <c r="AK161" s="171">
        <f t="shared" si="130"/>
        <v>129985</v>
      </c>
      <c r="AL161" s="171">
        <v>154530</v>
      </c>
      <c r="AN161" s="173"/>
      <c r="AO161" s="173"/>
    </row>
    <row r="162" spans="2:41">
      <c r="B162" s="464"/>
      <c r="C162" s="34"/>
      <c r="D162" s="32" t="s">
        <v>617</v>
      </c>
      <c r="E162" s="350">
        <f t="shared" si="140"/>
        <v>1603433</v>
      </c>
      <c r="F162" s="350">
        <f t="shared" si="140"/>
        <v>1505913</v>
      </c>
      <c r="G162" s="350">
        <f t="shared" si="140"/>
        <v>1519669</v>
      </c>
      <c r="H162" s="350">
        <f t="shared" si="140"/>
        <v>1510246</v>
      </c>
      <c r="I162" s="350">
        <f t="shared" si="140"/>
        <v>1659732</v>
      </c>
      <c r="J162" s="350">
        <f t="shared" si="140"/>
        <v>4463896</v>
      </c>
      <c r="K162" s="350">
        <f t="shared" si="141"/>
        <v>3248216</v>
      </c>
      <c r="L162" s="350">
        <f t="shared" si="141"/>
        <v>2921623</v>
      </c>
      <c r="M162" s="350">
        <f t="shared" si="141"/>
        <v>1932654</v>
      </c>
      <c r="N162" s="350">
        <v>1867843</v>
      </c>
      <c r="O162" s="350">
        <v>1489849</v>
      </c>
      <c r="P162" s="350">
        <f>SUM(P154:P161)</f>
        <v>1630475</v>
      </c>
      <c r="R162" s="350">
        <v>1430815</v>
      </c>
      <c r="S162" s="350">
        <f t="shared" si="131"/>
        <v>1519669</v>
      </c>
      <c r="T162" s="350">
        <f>T121+T79+T37</f>
        <v>1662985</v>
      </c>
      <c r="U162" s="350">
        <f t="shared" si="132"/>
        <v>1510246</v>
      </c>
      <c r="V162" s="350">
        <v>1555322</v>
      </c>
      <c r="W162" s="350">
        <f t="shared" si="133"/>
        <v>1659732</v>
      </c>
      <c r="X162" s="350">
        <f>X121+X79+X37</f>
        <v>1517516</v>
      </c>
      <c r="Y162" s="350">
        <f t="shared" si="134"/>
        <v>4463896</v>
      </c>
      <c r="Z162" s="350">
        <v>4477332</v>
      </c>
      <c r="AA162" s="350">
        <f t="shared" si="135"/>
        <v>3248216</v>
      </c>
      <c r="AB162" s="350">
        <f>AB121+AB79+AB37</f>
        <v>3238213</v>
      </c>
      <c r="AC162" s="350">
        <f t="shared" si="136"/>
        <v>2921623</v>
      </c>
      <c r="AD162" s="350">
        <f>AD121+AD79+AD37</f>
        <v>1936758</v>
      </c>
      <c r="AE162" s="350">
        <f t="shared" si="137"/>
        <v>1932654</v>
      </c>
      <c r="AF162" s="350">
        <f>AF121+AF79+AF37</f>
        <v>1944110</v>
      </c>
      <c r="AG162" s="350">
        <f t="shared" si="138"/>
        <v>1867843</v>
      </c>
      <c r="AH162" s="350">
        <f>AH121+AH79+AH37</f>
        <v>1727599</v>
      </c>
      <c r="AI162" s="350">
        <f t="shared" si="139"/>
        <v>1489849</v>
      </c>
      <c r="AJ162" s="350">
        <f>AJ37+AJ79</f>
        <v>1628821</v>
      </c>
      <c r="AK162" s="350">
        <f t="shared" si="130"/>
        <v>1630475</v>
      </c>
      <c r="AL162" s="350">
        <v>1508125</v>
      </c>
      <c r="AN162" s="173"/>
      <c r="AO162" s="173"/>
    </row>
    <row r="163" spans="2:41">
      <c r="B163" s="464"/>
      <c r="C163" s="34"/>
      <c r="D163" s="36" t="s">
        <v>618</v>
      </c>
      <c r="E163" s="171">
        <v>387152</v>
      </c>
      <c r="F163" s="171">
        <v>309555</v>
      </c>
      <c r="G163" s="171">
        <v>239586</v>
      </c>
      <c r="H163" s="171">
        <v>265822</v>
      </c>
      <c r="I163" s="171">
        <v>476117</v>
      </c>
      <c r="J163" s="171">
        <v>1542849</v>
      </c>
      <c r="K163" s="171">
        <v>1257255</v>
      </c>
      <c r="L163" s="171">
        <v>1161582</v>
      </c>
      <c r="M163" s="171">
        <v>1049868</v>
      </c>
      <c r="N163" s="171">
        <v>1019544</v>
      </c>
      <c r="O163" s="171">
        <v>861173</v>
      </c>
      <c r="P163" s="171">
        <v>744210</v>
      </c>
      <c r="R163" s="171">
        <v>263990</v>
      </c>
      <c r="S163" s="171">
        <f t="shared" si="131"/>
        <v>239586</v>
      </c>
      <c r="T163" s="171">
        <v>373915</v>
      </c>
      <c r="U163" s="171">
        <f t="shared" si="132"/>
        <v>265822</v>
      </c>
      <c r="V163" s="171">
        <v>296818</v>
      </c>
      <c r="W163" s="171">
        <f t="shared" si="133"/>
        <v>476117</v>
      </c>
      <c r="X163" s="171">
        <v>531714</v>
      </c>
      <c r="Y163" s="171">
        <f t="shared" si="134"/>
        <v>1542849</v>
      </c>
      <c r="Z163" s="171">
        <v>1505514</v>
      </c>
      <c r="AA163" s="171">
        <f t="shared" si="135"/>
        <v>1257255</v>
      </c>
      <c r="AB163" s="171">
        <v>1123223</v>
      </c>
      <c r="AC163" s="171">
        <f t="shared" si="136"/>
        <v>1161582</v>
      </c>
      <c r="AD163" s="171">
        <v>1151809</v>
      </c>
      <c r="AE163" s="171">
        <f t="shared" si="137"/>
        <v>1049868</v>
      </c>
      <c r="AF163" s="171">
        <v>1041761</v>
      </c>
      <c r="AG163" s="171">
        <f t="shared" si="138"/>
        <v>1019544</v>
      </c>
      <c r="AH163" s="171">
        <v>952431</v>
      </c>
      <c r="AI163" s="171">
        <f t="shared" si="139"/>
        <v>861173</v>
      </c>
      <c r="AJ163" s="171">
        <f>AJ38+AJ80</f>
        <v>869730</v>
      </c>
      <c r="AK163" s="171">
        <f t="shared" si="130"/>
        <v>744210</v>
      </c>
      <c r="AL163" s="171">
        <v>557962</v>
      </c>
      <c r="AN163" s="173"/>
      <c r="AO163" s="173"/>
    </row>
    <row r="164" spans="2:41">
      <c r="B164" s="464"/>
      <c r="C164" s="34"/>
      <c r="D164" s="36" t="s">
        <v>764</v>
      </c>
      <c r="E164" s="216" t="s">
        <v>694</v>
      </c>
      <c r="F164" s="216" t="s">
        <v>694</v>
      </c>
      <c r="G164" s="216" t="s">
        <v>694</v>
      </c>
      <c r="H164" s="216" t="s">
        <v>694</v>
      </c>
      <c r="I164" s="216" t="s">
        <v>694</v>
      </c>
      <c r="J164" s="216" t="s">
        <v>694</v>
      </c>
      <c r="K164" s="216" t="s">
        <v>694</v>
      </c>
      <c r="L164" s="216" t="s">
        <v>694</v>
      </c>
      <c r="M164" s="216" t="s">
        <v>694</v>
      </c>
      <c r="N164" s="216" t="s">
        <v>694</v>
      </c>
      <c r="O164" s="216" t="s">
        <v>694</v>
      </c>
      <c r="P164" s="171">
        <v>37468</v>
      </c>
      <c r="R164" s="216" t="s">
        <v>694</v>
      </c>
      <c r="S164" s="216" t="s">
        <v>694</v>
      </c>
      <c r="T164" s="216" t="s">
        <v>694</v>
      </c>
      <c r="U164" s="216" t="s">
        <v>694</v>
      </c>
      <c r="V164" s="216" t="s">
        <v>694</v>
      </c>
      <c r="W164" s="216" t="s">
        <v>694</v>
      </c>
      <c r="X164" s="216" t="s">
        <v>694</v>
      </c>
      <c r="Y164" s="216" t="s">
        <v>694</v>
      </c>
      <c r="Z164" s="216" t="s">
        <v>694</v>
      </c>
      <c r="AA164" s="216" t="s">
        <v>694</v>
      </c>
      <c r="AB164" s="216" t="s">
        <v>694</v>
      </c>
      <c r="AC164" s="216" t="s">
        <v>694</v>
      </c>
      <c r="AD164" s="216" t="s">
        <v>694</v>
      </c>
      <c r="AE164" s="216" t="s">
        <v>694</v>
      </c>
      <c r="AF164" s="216" t="s">
        <v>694</v>
      </c>
      <c r="AG164" s="216" t="s">
        <v>694</v>
      </c>
      <c r="AH164" s="216" t="s">
        <v>694</v>
      </c>
      <c r="AI164" s="216" t="s">
        <v>694</v>
      </c>
      <c r="AJ164" s="216" t="s">
        <v>694</v>
      </c>
      <c r="AK164" s="171">
        <f t="shared" si="130"/>
        <v>37468</v>
      </c>
      <c r="AL164" s="171">
        <v>34521</v>
      </c>
      <c r="AN164" s="173"/>
      <c r="AO164" s="173"/>
    </row>
    <row r="165" spans="2:41">
      <c r="B165" s="464"/>
      <c r="C165" s="34"/>
      <c r="D165" s="36" t="s">
        <v>619</v>
      </c>
      <c r="E165" s="171">
        <v>110729</v>
      </c>
      <c r="F165" s="171">
        <v>109843</v>
      </c>
      <c r="G165" s="171">
        <v>105591</v>
      </c>
      <c r="H165" s="171">
        <v>138023</v>
      </c>
      <c r="I165" s="171">
        <v>101578</v>
      </c>
      <c r="J165" s="171">
        <v>459214</v>
      </c>
      <c r="K165" s="171">
        <v>307273</v>
      </c>
      <c r="L165" s="171">
        <v>95918</v>
      </c>
      <c r="M165" s="171">
        <v>175673</v>
      </c>
      <c r="N165" s="171">
        <v>180626</v>
      </c>
      <c r="O165" s="171">
        <v>132289</v>
      </c>
      <c r="P165" s="171">
        <v>154810</v>
      </c>
      <c r="R165" s="171">
        <v>106988</v>
      </c>
      <c r="S165" s="171">
        <f t="shared" si="131"/>
        <v>105591</v>
      </c>
      <c r="T165" s="171">
        <v>147184</v>
      </c>
      <c r="U165" s="171">
        <f t="shared" si="132"/>
        <v>138023</v>
      </c>
      <c r="V165" s="171">
        <v>150229</v>
      </c>
      <c r="W165" s="171">
        <f t="shared" si="133"/>
        <v>101578</v>
      </c>
      <c r="X165" s="171">
        <v>93771</v>
      </c>
      <c r="Y165" s="171">
        <f t="shared" si="134"/>
        <v>459214</v>
      </c>
      <c r="Z165" s="171">
        <v>454522</v>
      </c>
      <c r="AA165" s="171">
        <f t="shared" si="135"/>
        <v>307273</v>
      </c>
      <c r="AB165" s="171">
        <v>306512</v>
      </c>
      <c r="AC165" s="171">
        <f t="shared" si="136"/>
        <v>95918</v>
      </c>
      <c r="AD165" s="171">
        <v>129215</v>
      </c>
      <c r="AE165" s="171">
        <f t="shared" si="137"/>
        <v>175673</v>
      </c>
      <c r="AF165" s="171">
        <v>178402</v>
      </c>
      <c r="AG165" s="171">
        <f t="shared" si="138"/>
        <v>180626</v>
      </c>
      <c r="AH165" s="171">
        <v>157416</v>
      </c>
      <c r="AI165" s="171">
        <f t="shared" si="139"/>
        <v>132289</v>
      </c>
      <c r="AJ165" s="171">
        <f>AJ40+AJ82</f>
        <v>180839</v>
      </c>
      <c r="AK165" s="171">
        <f t="shared" si="130"/>
        <v>154810</v>
      </c>
      <c r="AL165" s="171">
        <v>128549</v>
      </c>
      <c r="AN165" s="173"/>
      <c r="AO165" s="173"/>
    </row>
    <row r="166" spans="2:41">
      <c r="B166" s="464"/>
      <c r="C166" s="34"/>
      <c r="D166" s="36" t="s">
        <v>44</v>
      </c>
      <c r="E166" s="171">
        <v>60178</v>
      </c>
      <c r="F166" s="171">
        <v>62330</v>
      </c>
      <c r="G166" s="171">
        <v>67914</v>
      </c>
      <c r="H166" s="171">
        <v>52717</v>
      </c>
      <c r="I166" s="171">
        <v>58048</v>
      </c>
      <c r="J166" s="171">
        <v>94598</v>
      </c>
      <c r="K166" s="171">
        <v>52571</v>
      </c>
      <c r="L166" s="171">
        <v>44890</v>
      </c>
      <c r="M166" s="171">
        <v>44456</v>
      </c>
      <c r="N166" s="171">
        <v>30828</v>
      </c>
      <c r="O166" s="171">
        <v>40840</v>
      </c>
      <c r="P166" s="171">
        <v>29508</v>
      </c>
      <c r="R166" s="171">
        <v>65021</v>
      </c>
      <c r="S166" s="171">
        <f t="shared" si="131"/>
        <v>67914</v>
      </c>
      <c r="T166" s="171">
        <v>70624</v>
      </c>
      <c r="U166" s="171">
        <f t="shared" si="132"/>
        <v>52717</v>
      </c>
      <c r="V166" s="171">
        <v>51931</v>
      </c>
      <c r="W166" s="171">
        <f t="shared" si="133"/>
        <v>58048</v>
      </c>
      <c r="X166" s="171">
        <v>84641</v>
      </c>
      <c r="Y166" s="171">
        <f t="shared" si="134"/>
        <v>94598</v>
      </c>
      <c r="Z166" s="171">
        <v>74947</v>
      </c>
      <c r="AA166" s="171">
        <f t="shared" si="135"/>
        <v>52571</v>
      </c>
      <c r="AB166" s="171">
        <v>52472</v>
      </c>
      <c r="AC166" s="171">
        <f t="shared" si="136"/>
        <v>44890</v>
      </c>
      <c r="AD166" s="171">
        <v>43552</v>
      </c>
      <c r="AE166" s="171">
        <f t="shared" si="137"/>
        <v>44456</v>
      </c>
      <c r="AF166" s="171">
        <v>29085</v>
      </c>
      <c r="AG166" s="171">
        <f t="shared" si="138"/>
        <v>30828</v>
      </c>
      <c r="AH166" s="171">
        <v>36299</v>
      </c>
      <c r="AI166" s="171">
        <f t="shared" si="139"/>
        <v>40840</v>
      </c>
      <c r="AJ166" s="171">
        <f>AJ41+AJ83</f>
        <v>26871</v>
      </c>
      <c r="AK166" s="171">
        <f t="shared" si="130"/>
        <v>29508</v>
      </c>
      <c r="AL166" s="171">
        <v>23955</v>
      </c>
      <c r="AN166" s="173"/>
      <c r="AO166" s="173"/>
    </row>
    <row r="167" spans="2:41">
      <c r="B167" s="464"/>
      <c r="C167" s="34"/>
      <c r="D167" s="36" t="s">
        <v>620</v>
      </c>
      <c r="E167" s="171">
        <v>73975</v>
      </c>
      <c r="F167" s="171">
        <v>67067</v>
      </c>
      <c r="G167" s="171">
        <v>53454</v>
      </c>
      <c r="H167" s="171">
        <v>104996</v>
      </c>
      <c r="I167" s="171">
        <v>79435</v>
      </c>
      <c r="J167" s="171">
        <v>246240</v>
      </c>
      <c r="K167" s="171">
        <v>158811</v>
      </c>
      <c r="L167" s="171">
        <v>146328</v>
      </c>
      <c r="M167" s="171">
        <v>114378</v>
      </c>
      <c r="N167" s="171">
        <v>88230</v>
      </c>
      <c r="O167" s="171">
        <v>24177</v>
      </c>
      <c r="P167" s="171">
        <v>99810</v>
      </c>
      <c r="R167" s="171">
        <v>55845</v>
      </c>
      <c r="S167" s="171">
        <f t="shared" si="131"/>
        <v>53454</v>
      </c>
      <c r="T167" s="171">
        <v>62767</v>
      </c>
      <c r="U167" s="171">
        <f t="shared" si="132"/>
        <v>104996</v>
      </c>
      <c r="V167" s="171">
        <v>92929</v>
      </c>
      <c r="W167" s="171">
        <f t="shared" si="133"/>
        <v>79435</v>
      </c>
      <c r="X167" s="171">
        <v>116979</v>
      </c>
      <c r="Y167" s="171">
        <f t="shared" si="134"/>
        <v>246240</v>
      </c>
      <c r="Z167" s="171">
        <v>163937</v>
      </c>
      <c r="AA167" s="171">
        <f t="shared" si="135"/>
        <v>158811</v>
      </c>
      <c r="AB167" s="171">
        <v>158813</v>
      </c>
      <c r="AC167" s="171">
        <f t="shared" si="136"/>
        <v>146328</v>
      </c>
      <c r="AD167" s="171">
        <v>135369</v>
      </c>
      <c r="AE167" s="171">
        <f t="shared" si="137"/>
        <v>114378</v>
      </c>
      <c r="AF167" s="171">
        <v>92785</v>
      </c>
      <c r="AG167" s="171">
        <f t="shared" si="138"/>
        <v>88230</v>
      </c>
      <c r="AH167" s="171">
        <v>69952</v>
      </c>
      <c r="AI167" s="171">
        <f t="shared" si="139"/>
        <v>24177</v>
      </c>
      <c r="AJ167" s="171">
        <f>AJ42+AJ84</f>
        <v>22366</v>
      </c>
      <c r="AK167" s="171">
        <f t="shared" si="130"/>
        <v>99810</v>
      </c>
      <c r="AL167" s="171">
        <v>234989</v>
      </c>
      <c r="AN167" s="173"/>
      <c r="AO167" s="173"/>
    </row>
    <row r="168" spans="2:41">
      <c r="B168" s="464"/>
      <c r="C168" s="34"/>
      <c r="D168" s="36" t="s">
        <v>765</v>
      </c>
      <c r="E168" s="216" t="s">
        <v>694</v>
      </c>
      <c r="F168" s="216" t="s">
        <v>694</v>
      </c>
      <c r="G168" s="216" t="s">
        <v>694</v>
      </c>
      <c r="H168" s="216" t="s">
        <v>694</v>
      </c>
      <c r="I168" s="216" t="s">
        <v>694</v>
      </c>
      <c r="J168" s="216" t="s">
        <v>694</v>
      </c>
      <c r="K168" s="216" t="s">
        <v>694</v>
      </c>
      <c r="L168" s="216" t="s">
        <v>694</v>
      </c>
      <c r="M168" s="216" t="s">
        <v>694</v>
      </c>
      <c r="N168" s="216" t="s">
        <v>694</v>
      </c>
      <c r="O168" s="216" t="s">
        <v>694</v>
      </c>
      <c r="P168" s="171">
        <v>1197</v>
      </c>
      <c r="R168" s="216" t="s">
        <v>694</v>
      </c>
      <c r="S168" s="216" t="s">
        <v>694</v>
      </c>
      <c r="T168" s="216" t="s">
        <v>694</v>
      </c>
      <c r="U168" s="216" t="s">
        <v>694</v>
      </c>
      <c r="V168" s="216" t="s">
        <v>694</v>
      </c>
      <c r="W168" s="216" t="s">
        <v>694</v>
      </c>
      <c r="X168" s="216" t="s">
        <v>694</v>
      </c>
      <c r="Y168" s="216" t="s">
        <v>694</v>
      </c>
      <c r="Z168" s="216" t="s">
        <v>694</v>
      </c>
      <c r="AA168" s="216" t="s">
        <v>694</v>
      </c>
      <c r="AB168" s="216" t="s">
        <v>694</v>
      </c>
      <c r="AC168" s="216" t="s">
        <v>694</v>
      </c>
      <c r="AD168" s="216" t="s">
        <v>694</v>
      </c>
      <c r="AE168" s="216" t="s">
        <v>694</v>
      </c>
      <c r="AF168" s="216" t="s">
        <v>694</v>
      </c>
      <c r="AG168" s="216" t="s">
        <v>694</v>
      </c>
      <c r="AH168" s="216" t="s">
        <v>694</v>
      </c>
      <c r="AI168" s="216" t="s">
        <v>694</v>
      </c>
      <c r="AJ168" s="216" t="s">
        <v>694</v>
      </c>
      <c r="AK168" s="171">
        <f t="shared" si="130"/>
        <v>1197</v>
      </c>
      <c r="AL168" s="171">
        <v>1815</v>
      </c>
      <c r="AN168" s="173"/>
      <c r="AO168" s="173"/>
    </row>
    <row r="169" spans="2:41">
      <c r="B169" s="464"/>
      <c r="C169" s="34"/>
      <c r="D169" s="36" t="s">
        <v>621</v>
      </c>
      <c r="E169" s="171">
        <v>24637</v>
      </c>
      <c r="F169" s="171">
        <v>2308</v>
      </c>
      <c r="G169" s="171">
        <v>3048</v>
      </c>
      <c r="H169" s="171">
        <v>1342</v>
      </c>
      <c r="I169" s="171">
        <v>133697</v>
      </c>
      <c r="J169" s="171">
        <v>6754</v>
      </c>
      <c r="K169" s="171">
        <v>13868</v>
      </c>
      <c r="L169" s="171">
        <v>2933</v>
      </c>
      <c r="M169" s="171">
        <v>3369</v>
      </c>
      <c r="N169" s="171">
        <v>1670</v>
      </c>
      <c r="O169" s="171">
        <v>809</v>
      </c>
      <c r="P169" s="171">
        <v>1021</v>
      </c>
      <c r="R169" s="171">
        <v>2128</v>
      </c>
      <c r="S169" s="171">
        <f t="shared" si="131"/>
        <v>3048</v>
      </c>
      <c r="T169" s="171">
        <v>2608</v>
      </c>
      <c r="U169" s="171">
        <f t="shared" si="132"/>
        <v>1342</v>
      </c>
      <c r="V169" s="171">
        <v>2027</v>
      </c>
      <c r="W169" s="171">
        <f t="shared" si="133"/>
        <v>133697</v>
      </c>
      <c r="X169" s="171">
        <v>13204</v>
      </c>
      <c r="Y169" s="171">
        <f t="shared" si="134"/>
        <v>6754</v>
      </c>
      <c r="Z169" s="171">
        <v>8115</v>
      </c>
      <c r="AA169" s="171">
        <f t="shared" si="135"/>
        <v>13868</v>
      </c>
      <c r="AB169" s="171">
        <v>3597</v>
      </c>
      <c r="AC169" s="171">
        <f t="shared" si="136"/>
        <v>2933</v>
      </c>
      <c r="AD169" s="171">
        <v>2368</v>
      </c>
      <c r="AE169" s="171">
        <f t="shared" si="137"/>
        <v>3369</v>
      </c>
      <c r="AF169" s="171">
        <v>5661</v>
      </c>
      <c r="AG169" s="171">
        <f t="shared" si="138"/>
        <v>1670</v>
      </c>
      <c r="AH169" s="171">
        <v>5164</v>
      </c>
      <c r="AI169" s="171">
        <f t="shared" si="139"/>
        <v>809</v>
      </c>
      <c r="AJ169" s="171">
        <f t="shared" ref="AJ169" si="142">AJ44+AJ86</f>
        <v>1925</v>
      </c>
      <c r="AK169" s="171">
        <f t="shared" si="130"/>
        <v>1021</v>
      </c>
      <c r="AL169" s="171">
        <v>446</v>
      </c>
      <c r="AN169" s="173"/>
      <c r="AO169" s="173"/>
    </row>
    <row r="170" spans="2:41">
      <c r="B170" s="464"/>
      <c r="C170" s="34"/>
      <c r="D170" s="32" t="s">
        <v>622</v>
      </c>
      <c r="E170" s="350">
        <f t="shared" ref="E170:J171" si="143">E45+E87+E127</f>
        <v>656671</v>
      </c>
      <c r="F170" s="350">
        <f t="shared" si="143"/>
        <v>551103</v>
      </c>
      <c r="G170" s="350">
        <f t="shared" si="143"/>
        <v>469593</v>
      </c>
      <c r="H170" s="350">
        <f t="shared" si="143"/>
        <v>562900</v>
      </c>
      <c r="I170" s="350">
        <f t="shared" si="143"/>
        <v>848875</v>
      </c>
      <c r="J170" s="350">
        <f t="shared" si="143"/>
        <v>2349655</v>
      </c>
      <c r="K170" s="350">
        <f t="shared" ref="K170:M171" si="144">K127+K87+K45</f>
        <v>1789778</v>
      </c>
      <c r="L170" s="350">
        <f t="shared" si="144"/>
        <v>1451651</v>
      </c>
      <c r="M170" s="350">
        <f t="shared" si="144"/>
        <v>1387744</v>
      </c>
      <c r="N170" s="350">
        <v>1320898</v>
      </c>
      <c r="O170" s="350">
        <v>1059288</v>
      </c>
      <c r="P170" s="350">
        <f>SUM(P163:P169)</f>
        <v>1068024</v>
      </c>
      <c r="R170" s="350">
        <v>493972</v>
      </c>
      <c r="S170" s="350">
        <f t="shared" si="131"/>
        <v>469593</v>
      </c>
      <c r="T170" s="350">
        <f>T127+T87+T45</f>
        <v>657098</v>
      </c>
      <c r="U170" s="350">
        <f t="shared" si="132"/>
        <v>562900</v>
      </c>
      <c r="V170" s="350">
        <v>593934</v>
      </c>
      <c r="W170" s="350">
        <f t="shared" si="133"/>
        <v>848875</v>
      </c>
      <c r="X170" s="350">
        <f>X127+X87+X45</f>
        <v>840309</v>
      </c>
      <c r="Y170" s="350">
        <f t="shared" si="134"/>
        <v>2349655</v>
      </c>
      <c r="Z170" s="350">
        <v>2207035</v>
      </c>
      <c r="AA170" s="350">
        <f t="shared" si="135"/>
        <v>1789778</v>
      </c>
      <c r="AB170" s="350">
        <f>AB127+AB87+AB45</f>
        <v>1644617</v>
      </c>
      <c r="AC170" s="350">
        <f t="shared" si="136"/>
        <v>1451651</v>
      </c>
      <c r="AD170" s="350">
        <f>AD127+AD87+AD45</f>
        <v>1462313</v>
      </c>
      <c r="AE170" s="350">
        <f t="shared" si="137"/>
        <v>1387744</v>
      </c>
      <c r="AF170" s="350">
        <f>AF127+AF87+AF45</f>
        <v>1347694</v>
      </c>
      <c r="AG170" s="350">
        <f t="shared" si="138"/>
        <v>1320898</v>
      </c>
      <c r="AH170" s="350">
        <f>AH127+AH87+AH45</f>
        <v>1221262</v>
      </c>
      <c r="AI170" s="350">
        <f t="shared" si="139"/>
        <v>1059288</v>
      </c>
      <c r="AJ170" s="350">
        <f>AJ45+AJ87</f>
        <v>1101731</v>
      </c>
      <c r="AK170" s="350">
        <f t="shared" si="130"/>
        <v>1068024</v>
      </c>
      <c r="AL170" s="350">
        <v>982237</v>
      </c>
      <c r="AN170" s="173"/>
      <c r="AO170" s="173"/>
    </row>
    <row r="171" spans="2:41">
      <c r="B171" s="464"/>
      <c r="C171" s="34"/>
      <c r="D171" s="32" t="s">
        <v>15</v>
      </c>
      <c r="E171" s="350">
        <f t="shared" si="143"/>
        <v>17642</v>
      </c>
      <c r="F171" s="350">
        <f t="shared" si="143"/>
        <v>20071</v>
      </c>
      <c r="G171" s="350">
        <f t="shared" si="143"/>
        <v>20884</v>
      </c>
      <c r="H171" s="350">
        <f t="shared" si="143"/>
        <v>21117</v>
      </c>
      <c r="I171" s="350">
        <f t="shared" si="143"/>
        <v>2512</v>
      </c>
      <c r="J171" s="350">
        <f t="shared" si="143"/>
        <v>-15353</v>
      </c>
      <c r="K171" s="350">
        <f t="shared" si="144"/>
        <v>25411</v>
      </c>
      <c r="L171" s="350">
        <f t="shared" si="144"/>
        <v>13231</v>
      </c>
      <c r="M171" s="350">
        <f t="shared" si="144"/>
        <v>15293</v>
      </c>
      <c r="N171" s="350">
        <v>16131</v>
      </c>
      <c r="O171" s="350">
        <v>14235</v>
      </c>
      <c r="P171" s="350">
        <v>17114</v>
      </c>
      <c r="R171" s="350">
        <v>21185</v>
      </c>
      <c r="S171" s="350">
        <f t="shared" si="131"/>
        <v>20884</v>
      </c>
      <c r="T171" s="350">
        <f>T128+T88+T46</f>
        <v>23274</v>
      </c>
      <c r="U171" s="350">
        <f>U128+U88+U46</f>
        <v>21117</v>
      </c>
      <c r="V171" s="350">
        <v>19274</v>
      </c>
      <c r="W171" s="350">
        <f>W128+W88+W46</f>
        <v>2512</v>
      </c>
      <c r="X171" s="350">
        <f>X128+X88+X46</f>
        <v>2307</v>
      </c>
      <c r="Y171" s="350">
        <f>Y128+Y88+Y46</f>
        <v>-15353</v>
      </c>
      <c r="Z171" s="350">
        <v>38350</v>
      </c>
      <c r="AA171" s="350">
        <f>AA128+AA88+AA46</f>
        <v>25411</v>
      </c>
      <c r="AB171" s="350">
        <f>AB128+AB88+AB46</f>
        <v>16466</v>
      </c>
      <c r="AC171" s="350">
        <f>AC128+AC88+AC46</f>
        <v>13231</v>
      </c>
      <c r="AD171" s="350">
        <f>AD128+AD88+AD46</f>
        <v>15145</v>
      </c>
      <c r="AE171" s="350">
        <f>AE128+AE88+AE46</f>
        <v>15293</v>
      </c>
      <c r="AF171" s="350">
        <f>AF128+AF88+AF46</f>
        <v>15870</v>
      </c>
      <c r="AG171" s="350">
        <f t="shared" si="138"/>
        <v>16131</v>
      </c>
      <c r="AH171" s="350">
        <f>AH128+AH88+AH46</f>
        <v>15259</v>
      </c>
      <c r="AI171" s="350">
        <f t="shared" si="139"/>
        <v>14235</v>
      </c>
      <c r="AJ171" s="350">
        <f>AJ88+AJ46</f>
        <v>16388</v>
      </c>
      <c r="AK171" s="350">
        <f t="shared" si="130"/>
        <v>17114</v>
      </c>
      <c r="AL171" s="350">
        <v>16111</v>
      </c>
      <c r="AN171" s="173"/>
      <c r="AO171" s="173"/>
    </row>
    <row r="172" spans="2:41">
      <c r="J172" s="155"/>
      <c r="K172" s="155"/>
      <c r="L172" s="155"/>
      <c r="N172" s="155"/>
      <c r="O172" s="155"/>
      <c r="P172" s="164"/>
      <c r="AK172" s="173"/>
      <c r="AL172" s="173"/>
      <c r="AN172" s="173"/>
      <c r="AO172" s="173"/>
    </row>
    <row r="173" spans="2:41">
      <c r="D173" s="120" t="s">
        <v>628</v>
      </c>
      <c r="E173" s="160"/>
      <c r="F173" s="160"/>
      <c r="G173" s="160"/>
      <c r="H173" s="160"/>
      <c r="I173" s="160"/>
      <c r="J173" s="160"/>
      <c r="K173" s="160"/>
      <c r="L173" s="160"/>
      <c r="M173" s="160"/>
      <c r="N173" s="160"/>
      <c r="O173" s="160"/>
      <c r="P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N173" s="173"/>
      <c r="AO173" s="173"/>
    </row>
    <row r="174" spans="2:41" ht="12" customHeight="1">
      <c r="B174" s="468" t="s">
        <v>628</v>
      </c>
      <c r="C174" s="34"/>
      <c r="D174" s="35" t="s">
        <v>602</v>
      </c>
      <c r="E174" s="157">
        <v>0</v>
      </c>
      <c r="F174" s="157">
        <v>0</v>
      </c>
      <c r="G174" s="157">
        <v>174</v>
      </c>
      <c r="H174" s="157">
        <v>0</v>
      </c>
      <c r="I174" s="157">
        <v>0</v>
      </c>
      <c r="J174" s="157">
        <v>0</v>
      </c>
      <c r="K174" s="157">
        <v>0</v>
      </c>
      <c r="L174" s="157">
        <v>0</v>
      </c>
      <c r="M174" s="157">
        <v>0</v>
      </c>
      <c r="N174" s="157">
        <v>0</v>
      </c>
      <c r="O174" s="157">
        <v>0</v>
      </c>
      <c r="P174" s="157">
        <v>0</v>
      </c>
      <c r="R174" s="157">
        <v>0</v>
      </c>
      <c r="S174" s="157">
        <f t="shared" si="117"/>
        <v>174</v>
      </c>
      <c r="T174" s="157">
        <v>0</v>
      </c>
      <c r="U174" s="157">
        <f t="shared" ref="U174:U175" si="145">H174-T174</f>
        <v>0</v>
      </c>
      <c r="V174" s="157">
        <v>0</v>
      </c>
      <c r="W174" s="157">
        <f>I174-V174</f>
        <v>0</v>
      </c>
      <c r="X174" s="157">
        <v>0</v>
      </c>
      <c r="Y174" s="157">
        <f>J174-X174</f>
        <v>0</v>
      </c>
      <c r="Z174" s="157">
        <v>0</v>
      </c>
      <c r="AA174" s="157">
        <f>K174-Z174</f>
        <v>0</v>
      </c>
      <c r="AB174" s="157">
        <v>0</v>
      </c>
      <c r="AC174" s="157">
        <f>L174-AB174</f>
        <v>0</v>
      </c>
      <c r="AD174" s="157">
        <v>0</v>
      </c>
      <c r="AE174" s="157">
        <f>M174-AD174</f>
        <v>0</v>
      </c>
      <c r="AF174" s="157">
        <v>0</v>
      </c>
      <c r="AG174" s="157">
        <f t="shared" ref="AG174:AG181" si="146">N174-AF174</f>
        <v>0</v>
      </c>
      <c r="AH174" s="157">
        <v>0</v>
      </c>
      <c r="AI174" s="157">
        <v>0</v>
      </c>
      <c r="AJ174" s="157">
        <v>0</v>
      </c>
      <c r="AK174" s="157">
        <f>P174-AJ174</f>
        <v>0</v>
      </c>
      <c r="AL174" s="157">
        <v>0</v>
      </c>
      <c r="AN174" s="173"/>
      <c r="AO174" s="173"/>
    </row>
    <row r="175" spans="2:41">
      <c r="B175" s="468"/>
      <c r="C175" s="34"/>
      <c r="D175" s="63" t="s">
        <v>603</v>
      </c>
      <c r="E175" s="156">
        <v>0</v>
      </c>
      <c r="F175" s="156">
        <v>0</v>
      </c>
      <c r="G175" s="156"/>
      <c r="H175" s="156">
        <v>0</v>
      </c>
      <c r="I175" s="156">
        <v>0</v>
      </c>
      <c r="J175" s="156">
        <v>0</v>
      </c>
      <c r="K175" s="156">
        <v>0</v>
      </c>
      <c r="L175" s="156">
        <v>0</v>
      </c>
      <c r="M175" s="156">
        <v>0</v>
      </c>
      <c r="N175" s="156">
        <v>0</v>
      </c>
      <c r="O175" s="156">
        <v>488</v>
      </c>
      <c r="P175" s="156">
        <v>168</v>
      </c>
      <c r="R175" s="156">
        <v>0</v>
      </c>
      <c r="S175" s="156">
        <f t="shared" si="117"/>
        <v>0</v>
      </c>
      <c r="T175" s="156">
        <v>0</v>
      </c>
      <c r="U175" s="156">
        <f t="shared" si="145"/>
        <v>0</v>
      </c>
      <c r="V175" s="156">
        <v>29</v>
      </c>
      <c r="W175" s="156">
        <f t="shared" ref="W175:W194" si="147">I175-V175</f>
        <v>-29</v>
      </c>
      <c r="X175" s="156">
        <v>0</v>
      </c>
      <c r="Y175" s="156">
        <f t="shared" ref="Y175:Y180" si="148">J175-X175</f>
        <v>0</v>
      </c>
      <c r="Z175" s="156"/>
      <c r="AA175" s="156">
        <f t="shared" ref="AA175:AA180" si="149">K175-Z175</f>
        <v>0</v>
      </c>
      <c r="AB175" s="156"/>
      <c r="AC175" s="156">
        <f t="shared" ref="AC175:AC180" si="150">L175-AB175</f>
        <v>0</v>
      </c>
      <c r="AD175" s="156">
        <v>0</v>
      </c>
      <c r="AE175" s="156">
        <f t="shared" ref="AE175:AE195" si="151">M175-AD175</f>
        <v>0</v>
      </c>
      <c r="AF175" s="156">
        <v>0</v>
      </c>
      <c r="AG175" s="156">
        <f t="shared" si="146"/>
        <v>0</v>
      </c>
      <c r="AH175" s="156">
        <v>222</v>
      </c>
      <c r="AI175" s="156">
        <v>266</v>
      </c>
      <c r="AJ175" s="156">
        <v>83</v>
      </c>
      <c r="AK175" s="156">
        <f t="shared" ref="AK175:AK195" si="152">P175-AJ175</f>
        <v>85</v>
      </c>
      <c r="AL175" s="156">
        <v>225</v>
      </c>
      <c r="AN175" s="173"/>
      <c r="AO175" s="173"/>
    </row>
    <row r="176" spans="2:41">
      <c r="B176" s="468"/>
      <c r="C176" s="34"/>
      <c r="D176" s="35" t="s">
        <v>604</v>
      </c>
      <c r="E176" s="157">
        <f t="shared" ref="E176:N176" si="153">E174+E175</f>
        <v>0</v>
      </c>
      <c r="F176" s="157">
        <f t="shared" si="153"/>
        <v>0</v>
      </c>
      <c r="G176" s="157">
        <f t="shared" si="153"/>
        <v>174</v>
      </c>
      <c r="H176" s="157">
        <f t="shared" si="153"/>
        <v>0</v>
      </c>
      <c r="I176" s="157">
        <f t="shared" si="153"/>
        <v>0</v>
      </c>
      <c r="J176" s="157">
        <f t="shared" si="153"/>
        <v>0</v>
      </c>
      <c r="K176" s="157">
        <f t="shared" si="153"/>
        <v>0</v>
      </c>
      <c r="L176" s="157">
        <f t="shared" si="153"/>
        <v>0</v>
      </c>
      <c r="M176" s="157">
        <f t="shared" si="153"/>
        <v>0</v>
      </c>
      <c r="N176" s="157">
        <f t="shared" si="153"/>
        <v>0</v>
      </c>
      <c r="O176" s="157">
        <f>O174+O175</f>
        <v>488</v>
      </c>
      <c r="P176" s="157">
        <v>168</v>
      </c>
      <c r="R176" s="157">
        <f t="shared" ref="R176:AJ176" si="154">R174+R175</f>
        <v>0</v>
      </c>
      <c r="S176" s="157">
        <f t="shared" si="117"/>
        <v>174</v>
      </c>
      <c r="T176" s="157">
        <f t="shared" si="154"/>
        <v>0</v>
      </c>
      <c r="U176" s="157">
        <f t="shared" si="154"/>
        <v>0</v>
      </c>
      <c r="V176" s="157">
        <f t="shared" si="154"/>
        <v>29</v>
      </c>
      <c r="W176" s="157">
        <f t="shared" si="147"/>
        <v>-29</v>
      </c>
      <c r="X176" s="157">
        <f t="shared" si="154"/>
        <v>0</v>
      </c>
      <c r="Y176" s="157">
        <f t="shared" si="148"/>
        <v>0</v>
      </c>
      <c r="Z176" s="157">
        <f t="shared" si="154"/>
        <v>0</v>
      </c>
      <c r="AA176" s="157">
        <f t="shared" si="149"/>
        <v>0</v>
      </c>
      <c r="AB176" s="157">
        <f t="shared" si="154"/>
        <v>0</v>
      </c>
      <c r="AC176" s="157">
        <f t="shared" si="150"/>
        <v>0</v>
      </c>
      <c r="AD176" s="157">
        <v>0</v>
      </c>
      <c r="AE176" s="157">
        <f t="shared" si="151"/>
        <v>0</v>
      </c>
      <c r="AF176" s="157">
        <f t="shared" si="154"/>
        <v>0</v>
      </c>
      <c r="AG176" s="157">
        <f t="shared" si="146"/>
        <v>0</v>
      </c>
      <c r="AH176" s="157">
        <f t="shared" si="154"/>
        <v>222</v>
      </c>
      <c r="AI176" s="157">
        <f t="shared" si="154"/>
        <v>266</v>
      </c>
      <c r="AJ176" s="157">
        <f t="shared" si="154"/>
        <v>83</v>
      </c>
      <c r="AK176" s="157">
        <f t="shared" si="152"/>
        <v>85</v>
      </c>
      <c r="AL176" s="157">
        <v>225</v>
      </c>
      <c r="AN176" s="173"/>
      <c r="AO176" s="173"/>
    </row>
    <row r="177" spans="2:41">
      <c r="B177" s="468"/>
      <c r="C177" s="34"/>
      <c r="D177" s="36" t="s">
        <v>1</v>
      </c>
      <c r="E177" s="155"/>
      <c r="F177" s="155"/>
      <c r="G177" s="155">
        <v>-136</v>
      </c>
      <c r="H177" s="155"/>
      <c r="I177" s="155"/>
      <c r="J177" s="155"/>
      <c r="K177" s="155"/>
      <c r="L177" s="155"/>
      <c r="M177" s="155"/>
      <c r="N177" s="155">
        <v>0</v>
      </c>
      <c r="O177" s="155">
        <v>0</v>
      </c>
      <c r="P177" s="155">
        <v>-349</v>
      </c>
      <c r="R177" s="155">
        <v>0</v>
      </c>
      <c r="S177" s="155">
        <f t="shared" si="117"/>
        <v>-136</v>
      </c>
      <c r="T177" s="155">
        <v>0</v>
      </c>
      <c r="U177" s="155">
        <f t="shared" ref="U177:U180" si="155">H177-T177</f>
        <v>0</v>
      </c>
      <c r="V177" s="155">
        <v>0</v>
      </c>
      <c r="W177" s="155">
        <f t="shared" si="147"/>
        <v>0</v>
      </c>
      <c r="X177" s="155">
        <v>0</v>
      </c>
      <c r="Y177" s="155">
        <f t="shared" si="148"/>
        <v>0</v>
      </c>
      <c r="Z177" s="155">
        <v>0</v>
      </c>
      <c r="AA177" s="155">
        <f t="shared" si="149"/>
        <v>0</v>
      </c>
      <c r="AB177" s="155">
        <v>0</v>
      </c>
      <c r="AC177" s="155">
        <f t="shared" si="150"/>
        <v>0</v>
      </c>
      <c r="AD177" s="155">
        <v>0</v>
      </c>
      <c r="AE177" s="155">
        <f t="shared" si="151"/>
        <v>0</v>
      </c>
      <c r="AF177" s="155">
        <v>0</v>
      </c>
      <c r="AG177" s="155">
        <f t="shared" si="146"/>
        <v>0</v>
      </c>
      <c r="AH177" s="155">
        <v>0</v>
      </c>
      <c r="AI177" s="155">
        <v>0</v>
      </c>
      <c r="AJ177" s="155">
        <f>-139</f>
        <v>-139</v>
      </c>
      <c r="AK177" s="155">
        <f t="shared" si="152"/>
        <v>-210</v>
      </c>
      <c r="AL177" s="155">
        <v>-198</v>
      </c>
      <c r="AN177" s="173"/>
      <c r="AO177" s="173"/>
    </row>
    <row r="178" spans="2:41">
      <c r="B178" s="468"/>
      <c r="C178" s="34"/>
      <c r="D178" s="36" t="s">
        <v>605</v>
      </c>
      <c r="E178" s="155">
        <v>-11319</v>
      </c>
      <c r="F178" s="155">
        <v>-3837</v>
      </c>
      <c r="G178" s="155">
        <v>-4668</v>
      </c>
      <c r="H178" s="155">
        <v>-9615</v>
      </c>
      <c r="I178" s="155">
        <f>-8526</f>
        <v>-8526</v>
      </c>
      <c r="J178" s="155">
        <f>-26017</f>
        <v>-26017</v>
      </c>
      <c r="K178" s="155">
        <f>-29156</f>
        <v>-29156</v>
      </c>
      <c r="L178" s="155">
        <f>-25380</f>
        <v>-25380</v>
      </c>
      <c r="M178" s="155">
        <f>-23361</f>
        <v>-23361</v>
      </c>
      <c r="N178" s="155">
        <f>-27669</f>
        <v>-27669</v>
      </c>
      <c r="O178" s="155">
        <v>-25663</v>
      </c>
      <c r="P178" s="155">
        <v>-27188</v>
      </c>
      <c r="R178" s="155">
        <v>-2250</v>
      </c>
      <c r="S178" s="155">
        <f t="shared" si="117"/>
        <v>-2418</v>
      </c>
      <c r="T178" s="155">
        <v>-5944</v>
      </c>
      <c r="U178" s="155">
        <f t="shared" si="155"/>
        <v>-3671</v>
      </c>
      <c r="V178" s="155">
        <v>-4536</v>
      </c>
      <c r="W178" s="155">
        <f t="shared" si="147"/>
        <v>-3990</v>
      </c>
      <c r="X178" s="155">
        <v>-8292</v>
      </c>
      <c r="Y178" s="155">
        <f t="shared" si="148"/>
        <v>-17725</v>
      </c>
      <c r="Z178" s="155">
        <f>-10853</f>
        <v>-10853</v>
      </c>
      <c r="AA178" s="155">
        <f t="shared" si="149"/>
        <v>-18303</v>
      </c>
      <c r="AB178" s="155">
        <v>-13033</v>
      </c>
      <c r="AC178" s="155">
        <f t="shared" si="150"/>
        <v>-12347</v>
      </c>
      <c r="AD178" s="155">
        <v>-13299</v>
      </c>
      <c r="AE178" s="155">
        <f t="shared" si="151"/>
        <v>-10062</v>
      </c>
      <c r="AF178" s="155">
        <v>-14644</v>
      </c>
      <c r="AG178" s="155">
        <f t="shared" si="146"/>
        <v>-13025</v>
      </c>
      <c r="AH178" s="155">
        <v>-12832</v>
      </c>
      <c r="AI178" s="155">
        <v>-12831</v>
      </c>
      <c r="AJ178" s="155">
        <f>-13710</f>
        <v>-13710</v>
      </c>
      <c r="AK178" s="155">
        <f t="shared" si="152"/>
        <v>-13478</v>
      </c>
      <c r="AL178" s="155">
        <v>-11565</v>
      </c>
      <c r="AN178" s="173"/>
      <c r="AO178" s="173"/>
    </row>
    <row r="179" spans="2:41">
      <c r="B179" s="468"/>
      <c r="C179" s="34"/>
      <c r="D179" s="41" t="s">
        <v>767</v>
      </c>
      <c r="E179" s="154"/>
      <c r="F179" s="154">
        <v>0</v>
      </c>
      <c r="G179" s="154">
        <v>0</v>
      </c>
      <c r="H179" s="154">
        <v>0</v>
      </c>
      <c r="I179" s="154">
        <v>0</v>
      </c>
      <c r="J179" s="154">
        <v>0</v>
      </c>
      <c r="K179" s="154">
        <v>0</v>
      </c>
      <c r="L179" s="154">
        <v>0</v>
      </c>
      <c r="M179" s="154">
        <v>0</v>
      </c>
      <c r="N179" s="154">
        <v>0</v>
      </c>
      <c r="O179" s="154">
        <v>0</v>
      </c>
      <c r="P179" s="154">
        <v>1773</v>
      </c>
      <c r="R179" s="154">
        <v>0</v>
      </c>
      <c r="S179" s="154">
        <v>0</v>
      </c>
      <c r="T179" s="154">
        <v>0</v>
      </c>
      <c r="U179" s="154">
        <v>0</v>
      </c>
      <c r="V179" s="154">
        <v>0</v>
      </c>
      <c r="W179" s="154">
        <v>0</v>
      </c>
      <c r="X179" s="154">
        <v>0</v>
      </c>
      <c r="Y179" s="154">
        <v>0</v>
      </c>
      <c r="Z179" s="154">
        <v>0</v>
      </c>
      <c r="AA179" s="154">
        <v>0</v>
      </c>
      <c r="AB179" s="154">
        <v>0</v>
      </c>
      <c r="AC179" s="154">
        <v>0</v>
      </c>
      <c r="AD179" s="154">
        <v>0</v>
      </c>
      <c r="AE179" s="154">
        <v>0</v>
      </c>
      <c r="AF179" s="154">
        <v>0</v>
      </c>
      <c r="AG179" s="154">
        <v>0</v>
      </c>
      <c r="AH179" s="154">
        <v>0</v>
      </c>
      <c r="AI179" s="154">
        <v>0</v>
      </c>
      <c r="AJ179" s="154">
        <v>0</v>
      </c>
      <c r="AK179" s="155">
        <f t="shared" si="152"/>
        <v>1773</v>
      </c>
      <c r="AL179" s="155">
        <v>650</v>
      </c>
      <c r="AN179" s="173"/>
      <c r="AO179" s="173"/>
    </row>
    <row r="180" spans="2:41">
      <c r="B180" s="468"/>
      <c r="C180" s="34"/>
      <c r="D180" s="63" t="s">
        <v>5</v>
      </c>
      <c r="E180" s="156">
        <v>46632</v>
      </c>
      <c r="F180" s="156">
        <v>31354</v>
      </c>
      <c r="G180" s="156">
        <v>49070</v>
      </c>
      <c r="H180" s="156">
        <v>160478</v>
      </c>
      <c r="I180" s="156">
        <v>132719</v>
      </c>
      <c r="J180" s="156">
        <v>141297</v>
      </c>
      <c r="K180" s="156">
        <v>8058</v>
      </c>
      <c r="L180" s="156">
        <v>8816</v>
      </c>
      <c r="M180" s="156">
        <v>101623</v>
      </c>
      <c r="N180" s="156">
        <v>7212</v>
      </c>
      <c r="O180" s="156">
        <v>3838</v>
      </c>
      <c r="P180" s="156">
        <v>-28255</v>
      </c>
      <c r="R180" s="156">
        <v>17921</v>
      </c>
      <c r="S180" s="156">
        <f t="shared" si="117"/>
        <v>31149</v>
      </c>
      <c r="T180" s="156">
        <v>138752</v>
      </c>
      <c r="U180" s="156">
        <f t="shared" si="155"/>
        <v>21726</v>
      </c>
      <c r="V180" s="156">
        <v>52232</v>
      </c>
      <c r="W180" s="156">
        <f t="shared" si="147"/>
        <v>80487</v>
      </c>
      <c r="X180" s="156">
        <v>129228</v>
      </c>
      <c r="Y180" s="156">
        <f t="shared" si="148"/>
        <v>12069</v>
      </c>
      <c r="Z180" s="156">
        <v>7812</v>
      </c>
      <c r="AA180" s="156">
        <f t="shared" si="149"/>
        <v>246</v>
      </c>
      <c r="AB180" s="156">
        <v>6335</v>
      </c>
      <c r="AC180" s="156">
        <f t="shared" si="150"/>
        <v>2481</v>
      </c>
      <c r="AD180" s="156">
        <v>100824</v>
      </c>
      <c r="AE180" s="156">
        <f t="shared" si="151"/>
        <v>799</v>
      </c>
      <c r="AF180" s="156">
        <v>4983</v>
      </c>
      <c r="AG180" s="156">
        <f t="shared" si="146"/>
        <v>2229</v>
      </c>
      <c r="AH180" s="156">
        <v>2319</v>
      </c>
      <c r="AI180" s="156">
        <v>1519</v>
      </c>
      <c r="AJ180" s="156">
        <f>-28268</f>
        <v>-28268</v>
      </c>
      <c r="AK180" s="156">
        <f t="shared" si="152"/>
        <v>13</v>
      </c>
      <c r="AL180" s="156">
        <v>3262</v>
      </c>
      <c r="AN180" s="173"/>
      <c r="AO180" s="173"/>
    </row>
    <row r="181" spans="2:41">
      <c r="B181" s="468"/>
      <c r="C181" s="34"/>
      <c r="D181" s="36" t="s">
        <v>6</v>
      </c>
      <c r="E181" s="155">
        <v>35313</v>
      </c>
      <c r="F181" s="155">
        <v>27517</v>
      </c>
      <c r="G181" s="155">
        <v>44440</v>
      </c>
      <c r="H181" s="155">
        <v>150863</v>
      </c>
      <c r="I181" s="155">
        <v>124193</v>
      </c>
      <c r="J181" s="155">
        <v>115280</v>
      </c>
      <c r="K181" s="155">
        <v>-21098</v>
      </c>
      <c r="L181" s="155">
        <v>-16564</v>
      </c>
      <c r="M181" s="155">
        <v>78262</v>
      </c>
      <c r="N181" s="155">
        <v>-20457</v>
      </c>
      <c r="O181" s="155">
        <v>-21337</v>
      </c>
      <c r="P181" s="155">
        <f>SUM(P176:P180)</f>
        <v>-53851</v>
      </c>
      <c r="R181" s="155">
        <v>15671</v>
      </c>
      <c r="S181" s="155">
        <v>28769</v>
      </c>
      <c r="T181" s="155">
        <v>132808</v>
      </c>
      <c r="U181" s="155">
        <v>18055</v>
      </c>
      <c r="V181" s="155">
        <v>47725</v>
      </c>
      <c r="W181" s="155">
        <v>76468</v>
      </c>
      <c r="X181" s="155">
        <v>120936</v>
      </c>
      <c r="Y181" s="155">
        <v>-5656</v>
      </c>
      <c r="Z181" s="155">
        <v>-3041</v>
      </c>
      <c r="AA181" s="155">
        <v>-18057</v>
      </c>
      <c r="AB181" s="155">
        <v>-6698</v>
      </c>
      <c r="AC181" s="155">
        <v>-9866</v>
      </c>
      <c r="AD181" s="155">
        <v>87525</v>
      </c>
      <c r="AE181" s="155">
        <f t="shared" si="151"/>
        <v>-9263</v>
      </c>
      <c r="AF181" s="155">
        <v>-9661</v>
      </c>
      <c r="AG181" s="155">
        <f t="shared" si="146"/>
        <v>-10796</v>
      </c>
      <c r="AH181" s="155">
        <v>-10291</v>
      </c>
      <c r="AI181" s="155">
        <v>-11046</v>
      </c>
      <c r="AJ181" s="155">
        <f t="shared" ref="AJ181:AL181" si="156">SUM(AJ176:AJ180)</f>
        <v>-42034</v>
      </c>
      <c r="AK181" s="155">
        <f t="shared" si="156"/>
        <v>-11817</v>
      </c>
      <c r="AL181" s="155">
        <f t="shared" si="156"/>
        <v>-7626</v>
      </c>
      <c r="AN181" s="173"/>
      <c r="AO181" s="173"/>
    </row>
    <row r="182" spans="2:41">
      <c r="B182" s="468"/>
      <c r="C182" s="34"/>
      <c r="D182" s="36"/>
      <c r="E182" s="155"/>
      <c r="F182" s="155"/>
      <c r="G182" s="155"/>
      <c r="H182" s="155"/>
      <c r="I182" s="155"/>
      <c r="J182" s="155"/>
      <c r="K182" s="155"/>
      <c r="L182" s="155"/>
      <c r="M182" s="155"/>
      <c r="N182" s="155"/>
      <c r="O182" s="155"/>
      <c r="P182" s="155"/>
      <c r="R182" s="155"/>
      <c r="S182" s="155"/>
      <c r="T182" s="155"/>
      <c r="U182" s="155"/>
      <c r="V182" s="155"/>
      <c r="W182" s="155"/>
      <c r="X182" s="155"/>
      <c r="Y182" s="155"/>
      <c r="Z182" s="155"/>
      <c r="AA182" s="155"/>
      <c r="AB182" s="155"/>
      <c r="AC182" s="155"/>
      <c r="AD182" s="155"/>
      <c r="AE182" s="155">
        <f t="shared" si="151"/>
        <v>0</v>
      </c>
      <c r="AF182" s="155"/>
      <c r="AG182" s="155"/>
      <c r="AH182" s="155"/>
      <c r="AI182" s="155"/>
      <c r="AJ182" s="155"/>
      <c r="AK182" s="155"/>
      <c r="AL182" s="155"/>
      <c r="AN182" s="173"/>
      <c r="AO182" s="173"/>
    </row>
    <row r="183" spans="2:41">
      <c r="B183" s="468"/>
      <c r="C183" s="34"/>
      <c r="D183" s="36" t="s">
        <v>9</v>
      </c>
      <c r="E183" s="155">
        <v>-6547</v>
      </c>
      <c r="F183" s="155">
        <v>-9541</v>
      </c>
      <c r="G183" s="155">
        <v>-4326</v>
      </c>
      <c r="H183" s="155">
        <v>-5256</v>
      </c>
      <c r="I183" s="155">
        <v>3822</v>
      </c>
      <c r="J183" s="155">
        <v>4713</v>
      </c>
      <c r="K183" s="155">
        <v>-5961</v>
      </c>
      <c r="L183" s="155">
        <v>970</v>
      </c>
      <c r="M183" s="155">
        <v>66</v>
      </c>
      <c r="N183" s="155">
        <v>-530</v>
      </c>
      <c r="O183" s="155">
        <v>-787</v>
      </c>
      <c r="P183" s="155">
        <v>-1489</v>
      </c>
      <c r="R183" s="155">
        <v>-3594</v>
      </c>
      <c r="S183" s="155">
        <v>-732</v>
      </c>
      <c r="T183" s="155">
        <v>992</v>
      </c>
      <c r="U183" s="155">
        <v>-6248</v>
      </c>
      <c r="V183" s="155">
        <v>114</v>
      </c>
      <c r="W183" s="155">
        <v>3708</v>
      </c>
      <c r="X183" s="155">
        <v>1505</v>
      </c>
      <c r="Y183" s="155">
        <v>3208</v>
      </c>
      <c r="Z183" s="155">
        <v>-3724</v>
      </c>
      <c r="AA183" s="155">
        <v>-2237</v>
      </c>
      <c r="AB183" s="155">
        <v>566</v>
      </c>
      <c r="AC183" s="155">
        <v>404</v>
      </c>
      <c r="AD183" s="155">
        <v>-164</v>
      </c>
      <c r="AE183" s="155">
        <f t="shared" si="151"/>
        <v>230</v>
      </c>
      <c r="AF183" s="155">
        <v>-245</v>
      </c>
      <c r="AG183" s="155">
        <f>N183-AF183</f>
        <v>-285</v>
      </c>
      <c r="AH183" s="155">
        <v>-279</v>
      </c>
      <c r="AI183" s="155">
        <v>-508</v>
      </c>
      <c r="AJ183" s="155">
        <f>-925</f>
        <v>-925</v>
      </c>
      <c r="AK183" s="155">
        <f t="shared" si="152"/>
        <v>-564</v>
      </c>
      <c r="AL183" s="155">
        <v>-16</v>
      </c>
      <c r="AN183" s="173"/>
      <c r="AO183" s="173"/>
    </row>
    <row r="184" spans="2:41">
      <c r="B184" s="468"/>
      <c r="C184" s="34"/>
      <c r="D184" s="36" t="s">
        <v>606</v>
      </c>
      <c r="E184" s="155">
        <v>438</v>
      </c>
      <c r="F184" s="155">
        <v>1658</v>
      </c>
      <c r="G184" s="155">
        <v>1883</v>
      </c>
      <c r="H184" s="155">
        <v>4085</v>
      </c>
      <c r="I184" s="155">
        <v>3256</v>
      </c>
      <c r="J184" s="155">
        <v>4360</v>
      </c>
      <c r="K184" s="155">
        <v>6470</v>
      </c>
      <c r="L184" s="155">
        <v>4198</v>
      </c>
      <c r="M184" s="155">
        <v>3244</v>
      </c>
      <c r="N184" s="155">
        <v>872</v>
      </c>
      <c r="O184" s="155">
        <v>303</v>
      </c>
      <c r="P184" s="155">
        <v>64</v>
      </c>
      <c r="R184" s="155">
        <v>902</v>
      </c>
      <c r="S184" s="155">
        <v>981</v>
      </c>
      <c r="T184" s="155">
        <v>1735</v>
      </c>
      <c r="U184" s="155">
        <v>2350</v>
      </c>
      <c r="V184" s="155">
        <v>1848</v>
      </c>
      <c r="W184" s="155">
        <v>1408</v>
      </c>
      <c r="X184" s="155">
        <v>1918</v>
      </c>
      <c r="Y184" s="155">
        <v>2442</v>
      </c>
      <c r="Z184" s="155">
        <v>4630</v>
      </c>
      <c r="AA184" s="155">
        <v>1840</v>
      </c>
      <c r="AB184" s="155">
        <v>2569</v>
      </c>
      <c r="AC184" s="155">
        <v>1629</v>
      </c>
      <c r="AD184" s="155">
        <v>1765</v>
      </c>
      <c r="AE184" s="155">
        <f t="shared" si="151"/>
        <v>1479</v>
      </c>
      <c r="AF184" s="155">
        <v>416</v>
      </c>
      <c r="AG184" s="155">
        <f>N184-AF184</f>
        <v>456</v>
      </c>
      <c r="AH184" s="155">
        <v>273</v>
      </c>
      <c r="AI184" s="155">
        <v>30</v>
      </c>
      <c r="AJ184" s="155">
        <v>22</v>
      </c>
      <c r="AK184" s="155">
        <f t="shared" si="152"/>
        <v>42</v>
      </c>
      <c r="AL184" s="155">
        <v>34</v>
      </c>
      <c r="AN184" s="173"/>
      <c r="AO184" s="173"/>
    </row>
    <row r="185" spans="2:41">
      <c r="B185" s="468"/>
      <c r="C185" s="34"/>
      <c r="D185" s="36" t="s">
        <v>607</v>
      </c>
      <c r="E185" s="155">
        <v>-1740</v>
      </c>
      <c r="F185" s="155">
        <v>-4866</v>
      </c>
      <c r="G185" s="155">
        <v>-5788</v>
      </c>
      <c r="H185" s="155">
        <v>-2510</v>
      </c>
      <c r="I185" s="155">
        <v>0</v>
      </c>
      <c r="J185" s="155">
        <v>-696</v>
      </c>
      <c r="K185" s="155">
        <v>-8679</v>
      </c>
      <c r="L185" s="155">
        <v>-1772</v>
      </c>
      <c r="M185" s="155">
        <v>-2891</v>
      </c>
      <c r="N185" s="155">
        <v>-1476</v>
      </c>
      <c r="O185" s="155">
        <v>-1238</v>
      </c>
      <c r="P185" s="155">
        <v>-1148</v>
      </c>
      <c r="R185" s="155">
        <v>-2885</v>
      </c>
      <c r="S185" s="155">
        <v>-2903</v>
      </c>
      <c r="T185" s="155">
        <v>-2491</v>
      </c>
      <c r="U185" s="155">
        <v>-19</v>
      </c>
      <c r="V185" s="155">
        <v>0</v>
      </c>
      <c r="W185" s="155">
        <v>0</v>
      </c>
      <c r="X185" s="155">
        <v>0</v>
      </c>
      <c r="Y185" s="155">
        <v>-696</v>
      </c>
      <c r="Z185" s="155">
        <v>-6513</v>
      </c>
      <c r="AA185" s="155">
        <v>-2166</v>
      </c>
      <c r="AB185" s="155">
        <v>-875</v>
      </c>
      <c r="AC185" s="155">
        <v>-897</v>
      </c>
      <c r="AD185" s="155">
        <v>-2173</v>
      </c>
      <c r="AE185" s="155">
        <f t="shared" si="151"/>
        <v>-718</v>
      </c>
      <c r="AF185" s="155">
        <v>-715</v>
      </c>
      <c r="AG185" s="155">
        <f>N185-AF185</f>
        <v>-761</v>
      </c>
      <c r="AH185" s="155">
        <v>-609</v>
      </c>
      <c r="AI185" s="155">
        <v>-629</v>
      </c>
      <c r="AJ185" s="155">
        <f>-640</f>
        <v>-640</v>
      </c>
      <c r="AK185" s="155">
        <f t="shared" si="152"/>
        <v>-508</v>
      </c>
      <c r="AL185" s="155">
        <v>-629</v>
      </c>
      <c r="AN185" s="173"/>
      <c r="AO185" s="173"/>
    </row>
    <row r="186" spans="2:41">
      <c r="B186" s="468"/>
      <c r="C186" s="34"/>
      <c r="D186" s="36" t="s">
        <v>608</v>
      </c>
      <c r="E186" s="155">
        <v>0</v>
      </c>
      <c r="F186" s="155">
        <v>0</v>
      </c>
      <c r="G186" s="155">
        <v>0</v>
      </c>
      <c r="H186" s="155">
        <v>0</v>
      </c>
      <c r="I186" s="155">
        <v>0</v>
      </c>
      <c r="J186" s="155">
        <v>0</v>
      </c>
      <c r="K186" s="155">
        <v>0</v>
      </c>
      <c r="L186" s="155">
        <v>0</v>
      </c>
      <c r="M186" s="155">
        <v>0</v>
      </c>
      <c r="N186" s="155">
        <v>0</v>
      </c>
      <c r="O186" s="155">
        <v>0</v>
      </c>
      <c r="P186" s="155">
        <v>0</v>
      </c>
      <c r="R186" s="155"/>
      <c r="S186" s="155">
        <v>0</v>
      </c>
      <c r="T186" s="155"/>
      <c r="U186" s="155">
        <v>0</v>
      </c>
      <c r="V186" s="155">
        <v>0</v>
      </c>
      <c r="W186" s="155">
        <v>0</v>
      </c>
      <c r="X186" s="155">
        <v>0</v>
      </c>
      <c r="Y186" s="155">
        <v>0</v>
      </c>
      <c r="Z186" s="155">
        <v>0</v>
      </c>
      <c r="AA186" s="155">
        <v>0</v>
      </c>
      <c r="AB186" s="155"/>
      <c r="AC186" s="155">
        <v>0</v>
      </c>
      <c r="AD186" s="155">
        <v>0</v>
      </c>
      <c r="AE186" s="155">
        <f t="shared" si="151"/>
        <v>0</v>
      </c>
      <c r="AF186" s="155">
        <v>0</v>
      </c>
      <c r="AG186" s="155">
        <f>N186-AF186</f>
        <v>0</v>
      </c>
      <c r="AH186" s="155">
        <v>0</v>
      </c>
      <c r="AI186" s="155">
        <v>0</v>
      </c>
      <c r="AJ186" s="155">
        <v>0</v>
      </c>
      <c r="AK186" s="155">
        <f t="shared" si="152"/>
        <v>0</v>
      </c>
      <c r="AL186" s="155">
        <v>0</v>
      </c>
      <c r="AN186" s="173"/>
      <c r="AO186" s="173"/>
    </row>
    <row r="187" spans="2:41">
      <c r="B187" s="468"/>
      <c r="C187" s="34"/>
      <c r="D187" s="36" t="s">
        <v>609</v>
      </c>
      <c r="E187" s="216" t="s">
        <v>694</v>
      </c>
      <c r="F187" s="216" t="s">
        <v>694</v>
      </c>
      <c r="G187" s="216" t="s">
        <v>694</v>
      </c>
      <c r="H187" s="216" t="s">
        <v>694</v>
      </c>
      <c r="I187" s="216" t="s">
        <v>694</v>
      </c>
      <c r="J187" s="216" t="s">
        <v>694</v>
      </c>
      <c r="K187" s="155">
        <v>-3752</v>
      </c>
      <c r="L187" s="155">
        <v>-1456</v>
      </c>
      <c r="M187" s="155">
        <v>-287</v>
      </c>
      <c r="N187" s="155">
        <v>74</v>
      </c>
      <c r="O187" s="155">
        <v>148</v>
      </c>
      <c r="P187" s="155">
        <v>-405</v>
      </c>
      <c r="R187" s="216" t="s">
        <v>694</v>
      </c>
      <c r="S187" s="216" t="s">
        <v>694</v>
      </c>
      <c r="T187" s="216" t="s">
        <v>694</v>
      </c>
      <c r="U187" s="216" t="s">
        <v>694</v>
      </c>
      <c r="V187" s="216" t="s">
        <v>694</v>
      </c>
      <c r="W187" s="216" t="s">
        <v>694</v>
      </c>
      <c r="X187" s="216" t="s">
        <v>694</v>
      </c>
      <c r="Y187" s="216" t="s">
        <v>694</v>
      </c>
      <c r="Z187" s="216" t="s">
        <v>694</v>
      </c>
      <c r="AA187" s="216" t="s">
        <v>694</v>
      </c>
      <c r="AB187" s="155">
        <v>0</v>
      </c>
      <c r="AC187" s="155">
        <v>-1457</v>
      </c>
      <c r="AD187" s="155">
        <v>244</v>
      </c>
      <c r="AE187" s="155">
        <f t="shared" si="151"/>
        <v>-531</v>
      </c>
      <c r="AF187" s="155">
        <v>55</v>
      </c>
      <c r="AG187" s="155">
        <f>N187-AF187</f>
        <v>19</v>
      </c>
      <c r="AH187" s="155">
        <v>57</v>
      </c>
      <c r="AI187" s="155">
        <v>91</v>
      </c>
      <c r="AJ187" s="155">
        <f>-307</f>
        <v>-307</v>
      </c>
      <c r="AK187" s="155">
        <f t="shared" si="152"/>
        <v>-98</v>
      </c>
      <c r="AL187" s="155">
        <v>579</v>
      </c>
      <c r="AN187" s="173"/>
      <c r="AO187" s="173"/>
    </row>
    <row r="188" spans="2:41">
      <c r="B188" s="468"/>
      <c r="C188" s="34"/>
      <c r="D188" s="36"/>
      <c r="E188" s="155"/>
      <c r="F188" s="155"/>
      <c r="G188" s="155"/>
      <c r="H188" s="155"/>
      <c r="I188" s="155"/>
      <c r="J188" s="155"/>
      <c r="K188" s="155"/>
      <c r="L188" s="155"/>
      <c r="M188" s="155"/>
      <c r="N188" s="155"/>
      <c r="O188" s="155"/>
      <c r="P188" s="155"/>
      <c r="R188" s="155"/>
      <c r="S188" s="155"/>
      <c r="T188" s="155"/>
      <c r="U188" s="155"/>
      <c r="V188" s="155"/>
      <c r="W188" s="155"/>
      <c r="X188" s="155"/>
      <c r="Y188" s="155"/>
      <c r="Z188" s="155"/>
      <c r="AA188" s="155"/>
      <c r="AB188" s="155"/>
      <c r="AC188" s="155"/>
      <c r="AD188" s="155"/>
      <c r="AE188" s="155">
        <f t="shared" si="151"/>
        <v>0</v>
      </c>
      <c r="AF188" s="155"/>
      <c r="AG188" s="155"/>
      <c r="AH188" s="155"/>
      <c r="AI188" s="155"/>
      <c r="AJ188" s="155"/>
      <c r="AK188" s="155"/>
      <c r="AL188" s="155"/>
      <c r="AN188" s="173"/>
      <c r="AO188" s="173"/>
    </row>
    <row r="189" spans="2:41">
      <c r="B189" s="468"/>
      <c r="C189" s="34"/>
      <c r="D189" s="36" t="s">
        <v>610</v>
      </c>
      <c r="E189" s="155">
        <v>0</v>
      </c>
      <c r="F189" s="155">
        <v>0</v>
      </c>
      <c r="G189" s="155">
        <v>0</v>
      </c>
      <c r="H189" s="155">
        <v>0</v>
      </c>
      <c r="I189" s="155">
        <v>0</v>
      </c>
      <c r="J189" s="155">
        <v>0</v>
      </c>
      <c r="K189" s="155">
        <v>0</v>
      </c>
      <c r="L189" s="155">
        <v>0</v>
      </c>
      <c r="M189" s="155">
        <v>0</v>
      </c>
      <c r="N189" s="155">
        <v>0</v>
      </c>
      <c r="O189" s="155">
        <v>0</v>
      </c>
      <c r="P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f t="shared" si="151"/>
        <v>0</v>
      </c>
      <c r="AF189" s="155">
        <v>0</v>
      </c>
      <c r="AG189" s="155">
        <f>N189-AF189</f>
        <v>0</v>
      </c>
      <c r="AH189" s="155">
        <v>0</v>
      </c>
      <c r="AI189" s="155">
        <v>0</v>
      </c>
      <c r="AJ189" s="155">
        <v>0</v>
      </c>
      <c r="AK189" s="155">
        <f t="shared" si="152"/>
        <v>0</v>
      </c>
      <c r="AL189" s="155">
        <v>0</v>
      </c>
      <c r="AN189" s="173"/>
      <c r="AO189" s="173"/>
    </row>
    <row r="190" spans="2:41">
      <c r="B190" s="468"/>
      <c r="C190" s="34"/>
      <c r="D190" s="63"/>
      <c r="E190" s="156"/>
      <c r="F190" s="156"/>
      <c r="G190" s="156"/>
      <c r="H190" s="156"/>
      <c r="I190" s="156"/>
      <c r="J190" s="156"/>
      <c r="K190" s="156"/>
      <c r="L190" s="156"/>
      <c r="M190" s="156"/>
      <c r="N190" s="156"/>
      <c r="O190" s="156"/>
      <c r="P190" s="156"/>
      <c r="R190" s="156"/>
      <c r="S190" s="156"/>
      <c r="T190" s="156"/>
      <c r="U190" s="156"/>
      <c r="V190" s="156"/>
      <c r="W190" s="156"/>
      <c r="X190" s="156"/>
      <c r="Y190" s="156"/>
      <c r="Z190" s="156"/>
      <c r="AA190" s="156"/>
      <c r="AB190" s="156"/>
      <c r="AC190" s="156"/>
      <c r="AD190" s="156"/>
      <c r="AE190" s="156">
        <f t="shared" si="151"/>
        <v>0</v>
      </c>
      <c r="AF190" s="156"/>
      <c r="AG190" s="156"/>
      <c r="AH190" s="156"/>
      <c r="AI190" s="156"/>
      <c r="AJ190" s="156"/>
      <c r="AK190" s="156"/>
      <c r="AL190" s="156"/>
      <c r="AN190" s="173"/>
      <c r="AO190" s="173"/>
    </row>
    <row r="191" spans="2:41">
      <c r="B191" s="468"/>
      <c r="C191" s="34"/>
      <c r="D191" s="36" t="s">
        <v>10</v>
      </c>
      <c r="E191" s="155">
        <v>28766</v>
      </c>
      <c r="F191" s="155">
        <v>17976</v>
      </c>
      <c r="G191" s="155">
        <v>40114</v>
      </c>
      <c r="H191" s="155">
        <v>145607</v>
      </c>
      <c r="I191" s="155">
        <v>128015</v>
      </c>
      <c r="J191" s="155">
        <v>119993</v>
      </c>
      <c r="K191" s="155">
        <v>-27059</v>
      </c>
      <c r="L191" s="155">
        <v>-15594</v>
      </c>
      <c r="M191" s="155">
        <v>78328</v>
      </c>
      <c r="N191" s="155">
        <v>-20987</v>
      </c>
      <c r="O191" s="155">
        <v>-22124</v>
      </c>
      <c r="P191" s="155">
        <v>-55340</v>
      </c>
      <c r="R191" s="155">
        <v>12077</v>
      </c>
      <c r="S191" s="155">
        <v>28037</v>
      </c>
      <c r="T191" s="155">
        <v>133800</v>
      </c>
      <c r="U191" s="155">
        <v>11807</v>
      </c>
      <c r="V191" s="155">
        <v>47839</v>
      </c>
      <c r="W191" s="155">
        <v>80176</v>
      </c>
      <c r="X191" s="155">
        <v>122441</v>
      </c>
      <c r="Y191" s="155">
        <v>-2448</v>
      </c>
      <c r="Z191" s="155">
        <v>-6765</v>
      </c>
      <c r="AA191" s="155">
        <v>-20294</v>
      </c>
      <c r="AB191" s="155">
        <v>-6132</v>
      </c>
      <c r="AC191" s="155">
        <v>-9462</v>
      </c>
      <c r="AD191" s="155">
        <v>87361</v>
      </c>
      <c r="AE191" s="155">
        <f t="shared" si="151"/>
        <v>-9033</v>
      </c>
      <c r="AF191" s="155">
        <v>-9906</v>
      </c>
      <c r="AG191" s="155">
        <f>N191-AF191</f>
        <v>-11081</v>
      </c>
      <c r="AH191" s="155">
        <v>-10570</v>
      </c>
      <c r="AI191" s="155">
        <v>-11554</v>
      </c>
      <c r="AJ191" s="155">
        <f t="shared" ref="AJ191:AL191" si="157">SUM(AJ181:AJ183,AJ189)</f>
        <v>-42959</v>
      </c>
      <c r="AK191" s="155">
        <f t="shared" si="157"/>
        <v>-12381</v>
      </c>
      <c r="AL191" s="155">
        <f t="shared" si="157"/>
        <v>-7642</v>
      </c>
      <c r="AN191" s="173"/>
      <c r="AO191" s="173"/>
    </row>
    <row r="192" spans="2:41">
      <c r="B192" s="468"/>
      <c r="C192" s="34"/>
      <c r="D192" s="41" t="s">
        <v>11</v>
      </c>
      <c r="E192" s="154">
        <v>-7</v>
      </c>
      <c r="F192" s="154">
        <v>-2</v>
      </c>
      <c r="G192" s="154">
        <v>-3</v>
      </c>
      <c r="H192" s="154">
        <v>-787</v>
      </c>
      <c r="I192" s="154">
        <v>-42</v>
      </c>
      <c r="J192" s="154">
        <v>2018</v>
      </c>
      <c r="K192" s="154">
        <v>-1391</v>
      </c>
      <c r="L192" s="154">
        <v>-759</v>
      </c>
      <c r="M192" s="154">
        <v>-595</v>
      </c>
      <c r="N192" s="154">
        <v>59</v>
      </c>
      <c r="O192" s="154">
        <v>-265</v>
      </c>
      <c r="P192" s="154">
        <v>-107</v>
      </c>
      <c r="R192" s="154"/>
      <c r="S192" s="154">
        <v>-3</v>
      </c>
      <c r="T192" s="154">
        <v>-282</v>
      </c>
      <c r="U192" s="154">
        <v>-505</v>
      </c>
      <c r="V192" s="154">
        <v>-3</v>
      </c>
      <c r="W192" s="154">
        <v>-39</v>
      </c>
      <c r="X192" s="154">
        <v>781</v>
      </c>
      <c r="Y192" s="156">
        <f t="shared" ref="Y192" si="158">J192-X192</f>
        <v>1237</v>
      </c>
      <c r="Z192" s="154">
        <v>-844</v>
      </c>
      <c r="AA192" s="156">
        <f t="shared" ref="AA192" si="159">K192-Z192</f>
        <v>-547</v>
      </c>
      <c r="AB192" s="154">
        <v>-715</v>
      </c>
      <c r="AC192" s="156">
        <f t="shared" ref="AC192" si="160">L192-AB192</f>
        <v>-44</v>
      </c>
      <c r="AD192" s="154">
        <v>297</v>
      </c>
      <c r="AE192" s="154">
        <f t="shared" si="151"/>
        <v>-892</v>
      </c>
      <c r="AF192" s="154">
        <v>134</v>
      </c>
      <c r="AG192" s="154">
        <f>N192-AF192</f>
        <v>-75</v>
      </c>
      <c r="AH192" s="154">
        <v>-226</v>
      </c>
      <c r="AI192" s="154">
        <v>-39</v>
      </c>
      <c r="AJ192" s="154">
        <f>-154</f>
        <v>-154</v>
      </c>
      <c r="AK192" s="154">
        <f t="shared" si="152"/>
        <v>47</v>
      </c>
      <c r="AL192" s="154">
        <v>-46</v>
      </c>
      <c r="AN192" s="173"/>
      <c r="AO192" s="173"/>
    </row>
    <row r="193" spans="2:41">
      <c r="B193" s="468"/>
      <c r="C193" s="34"/>
      <c r="D193" s="32" t="s">
        <v>611</v>
      </c>
      <c r="E193" s="160">
        <v>28759</v>
      </c>
      <c r="F193" s="160">
        <v>17974</v>
      </c>
      <c r="G193" s="160">
        <v>40111</v>
      </c>
      <c r="H193" s="160">
        <v>144820</v>
      </c>
      <c r="I193" s="160">
        <v>127973</v>
      </c>
      <c r="J193" s="160">
        <v>122011</v>
      </c>
      <c r="K193" s="160">
        <v>-28450</v>
      </c>
      <c r="L193" s="160">
        <v>-16353</v>
      </c>
      <c r="M193" s="160">
        <v>77733</v>
      </c>
      <c r="N193" s="160">
        <v>-20928</v>
      </c>
      <c r="O193" s="160">
        <v>-22389</v>
      </c>
      <c r="P193" s="160">
        <f>P191+P192</f>
        <v>-55447</v>
      </c>
      <c r="R193" s="160">
        <f>R191+R192</f>
        <v>12077</v>
      </c>
      <c r="S193" s="160">
        <f t="shared" ref="S193:AI193" si="161">S191+S192</f>
        <v>28034</v>
      </c>
      <c r="T193" s="160">
        <f t="shared" si="161"/>
        <v>133518</v>
      </c>
      <c r="U193" s="160">
        <f t="shared" si="161"/>
        <v>11302</v>
      </c>
      <c r="V193" s="160">
        <f t="shared" si="161"/>
        <v>47836</v>
      </c>
      <c r="W193" s="160">
        <f t="shared" si="161"/>
        <v>80137</v>
      </c>
      <c r="X193" s="160">
        <f t="shared" si="161"/>
        <v>123222</v>
      </c>
      <c r="Y193" s="160">
        <f t="shared" si="161"/>
        <v>-1211</v>
      </c>
      <c r="Z193" s="160">
        <f t="shared" si="161"/>
        <v>-7609</v>
      </c>
      <c r="AA193" s="160">
        <f t="shared" si="161"/>
        <v>-20841</v>
      </c>
      <c r="AB193" s="160">
        <f t="shared" si="161"/>
        <v>-6847</v>
      </c>
      <c r="AC193" s="160">
        <f t="shared" si="161"/>
        <v>-9506</v>
      </c>
      <c r="AD193" s="160">
        <v>87658</v>
      </c>
      <c r="AE193" s="160">
        <f t="shared" si="151"/>
        <v>-9925</v>
      </c>
      <c r="AF193" s="160">
        <f t="shared" si="161"/>
        <v>-9772</v>
      </c>
      <c r="AG193" s="160">
        <f>N193-AF193</f>
        <v>-11156</v>
      </c>
      <c r="AH193" s="160">
        <f t="shared" si="161"/>
        <v>-10796</v>
      </c>
      <c r="AI193" s="160">
        <f t="shared" si="161"/>
        <v>-11593</v>
      </c>
      <c r="AJ193" s="160">
        <f t="shared" ref="AJ193:AL193" si="162">AJ191+AJ192</f>
        <v>-43113</v>
      </c>
      <c r="AK193" s="160">
        <f t="shared" si="162"/>
        <v>-12334</v>
      </c>
      <c r="AL193" s="160">
        <f t="shared" si="162"/>
        <v>-7688</v>
      </c>
      <c r="AN193" s="173"/>
      <c r="AO193" s="173"/>
    </row>
    <row r="194" spans="2:41">
      <c r="B194" s="468"/>
      <c r="C194" s="34"/>
      <c r="D194" s="35"/>
      <c r="E194" s="157"/>
      <c r="F194" s="157"/>
      <c r="G194" s="157"/>
      <c r="H194" s="157"/>
      <c r="I194" s="157"/>
      <c r="J194" s="157"/>
      <c r="K194" s="157"/>
      <c r="L194" s="157"/>
      <c r="M194" s="157"/>
      <c r="N194" s="157"/>
      <c r="O194" s="157"/>
      <c r="P194" s="157"/>
      <c r="R194" s="157"/>
      <c r="S194" s="157"/>
      <c r="T194" s="157"/>
      <c r="U194" s="157"/>
      <c r="V194" s="157"/>
      <c r="W194" s="157">
        <f t="shared" si="147"/>
        <v>0</v>
      </c>
      <c r="X194" s="157"/>
      <c r="Y194" s="157"/>
      <c r="Z194" s="157"/>
      <c r="AA194" s="157"/>
      <c r="AB194" s="157"/>
      <c r="AC194" s="157"/>
      <c r="AD194" s="157"/>
      <c r="AE194" s="157">
        <f t="shared" si="151"/>
        <v>0</v>
      </c>
      <c r="AF194" s="157"/>
      <c r="AG194" s="157"/>
      <c r="AH194" s="157"/>
      <c r="AI194" s="157">
        <v>0</v>
      </c>
      <c r="AJ194" s="157"/>
      <c r="AK194" s="157"/>
      <c r="AL194" s="157"/>
      <c r="AN194" s="173"/>
      <c r="AO194" s="173"/>
    </row>
    <row r="195" spans="2:41">
      <c r="B195" s="468"/>
      <c r="C195" s="34"/>
      <c r="D195" s="63" t="s">
        <v>612</v>
      </c>
      <c r="E195" s="156">
        <v>60</v>
      </c>
      <c r="F195" s="156">
        <v>8000</v>
      </c>
      <c r="G195" s="156">
        <v>3</v>
      </c>
      <c r="H195" s="156">
        <v>9</v>
      </c>
      <c r="I195" s="156">
        <v>76</v>
      </c>
      <c r="J195" s="156">
        <v>38</v>
      </c>
      <c r="K195" s="156">
        <v>74</v>
      </c>
      <c r="L195" s="156">
        <v>66</v>
      </c>
      <c r="M195" s="156">
        <v>463</v>
      </c>
      <c r="N195" s="156">
        <v>3445</v>
      </c>
      <c r="O195" s="156">
        <v>296</v>
      </c>
      <c r="P195" s="156">
        <v>70</v>
      </c>
      <c r="R195" s="156">
        <v>0</v>
      </c>
      <c r="S195" s="156">
        <f t="shared" ref="S195" si="163">G195-R195</f>
        <v>3</v>
      </c>
      <c r="T195" s="156">
        <v>4</v>
      </c>
      <c r="U195" s="156">
        <v>5</v>
      </c>
      <c r="V195" s="156">
        <v>67</v>
      </c>
      <c r="W195" s="156">
        <v>9</v>
      </c>
      <c r="X195" s="156">
        <v>8</v>
      </c>
      <c r="Y195" s="156">
        <f t="shared" ref="Y195" si="164">J195-X195</f>
        <v>30</v>
      </c>
      <c r="Z195" s="156">
        <v>19</v>
      </c>
      <c r="AA195" s="156">
        <f t="shared" ref="AA195" si="165">K195-Z195</f>
        <v>55</v>
      </c>
      <c r="AB195" s="156">
        <v>58</v>
      </c>
      <c r="AC195" s="156">
        <f t="shared" ref="AC195" si="166">L195-AB195</f>
        <v>8</v>
      </c>
      <c r="AD195" s="156">
        <v>425</v>
      </c>
      <c r="AE195" s="156">
        <f t="shared" si="151"/>
        <v>38</v>
      </c>
      <c r="AF195" s="156">
        <v>1319</v>
      </c>
      <c r="AG195" s="156">
        <f>N195-AF195</f>
        <v>2126</v>
      </c>
      <c r="AH195" s="156">
        <v>69</v>
      </c>
      <c r="AI195" s="156">
        <v>227</v>
      </c>
      <c r="AJ195" s="156">
        <v>754</v>
      </c>
      <c r="AK195" s="156">
        <f t="shared" si="152"/>
        <v>-684</v>
      </c>
      <c r="AL195" s="156">
        <v>61</v>
      </c>
      <c r="AN195" s="173"/>
      <c r="AO195" s="173"/>
    </row>
    <row r="196" spans="2:41">
      <c r="B196" s="468"/>
      <c r="C196" s="34"/>
      <c r="D196" s="36"/>
      <c r="E196" s="155"/>
      <c r="F196" s="155"/>
      <c r="G196" s="155"/>
      <c r="H196" s="155"/>
      <c r="I196" s="155"/>
      <c r="J196" s="155"/>
      <c r="K196" s="155"/>
      <c r="L196" s="155"/>
      <c r="M196" s="155"/>
      <c r="N196" s="155"/>
      <c r="O196" s="155"/>
      <c r="P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N196" s="173"/>
      <c r="AO196" s="173"/>
    </row>
    <row r="197" spans="2:41">
      <c r="B197" s="468"/>
      <c r="C197" s="34"/>
      <c r="D197" s="36" t="s">
        <v>613</v>
      </c>
      <c r="E197" s="171">
        <v>54</v>
      </c>
      <c r="F197" s="171">
        <v>45</v>
      </c>
      <c r="G197" s="171">
        <v>37</v>
      </c>
      <c r="H197" s="171">
        <v>28</v>
      </c>
      <c r="I197" s="171">
        <v>67</v>
      </c>
      <c r="J197" s="171">
        <v>75</v>
      </c>
      <c r="K197" s="171">
        <v>89</v>
      </c>
      <c r="L197" s="171">
        <v>92</v>
      </c>
      <c r="M197" s="171">
        <v>232</v>
      </c>
      <c r="N197" s="171">
        <v>4792</v>
      </c>
      <c r="O197" s="171">
        <v>2433</v>
      </c>
      <c r="P197" s="171">
        <v>1836</v>
      </c>
      <c r="R197" s="155">
        <v>36</v>
      </c>
      <c r="S197" s="155">
        <f>G197</f>
        <v>37</v>
      </c>
      <c r="T197" s="155">
        <v>33</v>
      </c>
      <c r="U197" s="155">
        <f>H197</f>
        <v>28</v>
      </c>
      <c r="V197" s="155">
        <v>69</v>
      </c>
      <c r="W197" s="155">
        <f>I197</f>
        <v>67</v>
      </c>
      <c r="X197" s="155">
        <v>59</v>
      </c>
      <c r="Y197" s="155">
        <f>J197</f>
        <v>75</v>
      </c>
      <c r="Z197" s="155">
        <v>77</v>
      </c>
      <c r="AA197" s="155">
        <f>K197</f>
        <v>89</v>
      </c>
      <c r="AB197" s="155">
        <v>122</v>
      </c>
      <c r="AC197" s="155">
        <f>L197</f>
        <v>92</v>
      </c>
      <c r="AD197" s="155">
        <v>502</v>
      </c>
      <c r="AE197" s="155">
        <f>M197</f>
        <v>232</v>
      </c>
      <c r="AF197" s="155">
        <v>1372</v>
      </c>
      <c r="AG197" s="155">
        <f>N197</f>
        <v>4792</v>
      </c>
      <c r="AH197" s="155">
        <v>2877</v>
      </c>
      <c r="AI197" s="155">
        <f>O197</f>
        <v>2433</v>
      </c>
      <c r="AJ197" s="155">
        <v>2231</v>
      </c>
      <c r="AK197" s="155">
        <f>P197</f>
        <v>1836</v>
      </c>
      <c r="AL197" s="155">
        <v>1279</v>
      </c>
      <c r="AN197" s="173"/>
      <c r="AO197" s="173"/>
    </row>
    <row r="198" spans="2:41">
      <c r="B198" s="468"/>
      <c r="C198" s="34"/>
      <c r="D198" s="36" t="s">
        <v>720</v>
      </c>
      <c r="E198" s="216" t="s">
        <v>694</v>
      </c>
      <c r="F198" s="216" t="s">
        <v>694</v>
      </c>
      <c r="G198" s="216" t="s">
        <v>694</v>
      </c>
      <c r="H198" s="216" t="s">
        <v>694</v>
      </c>
      <c r="I198" s="216" t="s">
        <v>694</v>
      </c>
      <c r="J198" s="216" t="s">
        <v>694</v>
      </c>
      <c r="K198" s="216" t="s">
        <v>694</v>
      </c>
      <c r="L198" s="216" t="s">
        <v>694</v>
      </c>
      <c r="M198" s="216" t="s">
        <v>694</v>
      </c>
      <c r="N198" s="216" t="s">
        <v>694</v>
      </c>
      <c r="O198" s="216" t="s">
        <v>694</v>
      </c>
      <c r="P198" s="401">
        <v>829</v>
      </c>
      <c r="R198" s="216" t="s">
        <v>694</v>
      </c>
      <c r="S198" s="216" t="s">
        <v>694</v>
      </c>
      <c r="T198" s="216" t="s">
        <v>694</v>
      </c>
      <c r="U198" s="216" t="s">
        <v>694</v>
      </c>
      <c r="V198" s="216" t="s">
        <v>694</v>
      </c>
      <c r="W198" s="216" t="s">
        <v>694</v>
      </c>
      <c r="X198" s="216" t="s">
        <v>694</v>
      </c>
      <c r="Y198" s="216" t="s">
        <v>694</v>
      </c>
      <c r="Z198" s="216" t="s">
        <v>694</v>
      </c>
      <c r="AA198" s="216" t="s">
        <v>694</v>
      </c>
      <c r="AB198" s="216" t="s">
        <v>694</v>
      </c>
      <c r="AC198" s="216" t="s">
        <v>694</v>
      </c>
      <c r="AD198" s="216" t="s">
        <v>694</v>
      </c>
      <c r="AE198" s="216" t="s">
        <v>694</v>
      </c>
      <c r="AF198" s="216" t="s">
        <v>694</v>
      </c>
      <c r="AG198" s="216" t="s">
        <v>694</v>
      </c>
      <c r="AH198" s="216" t="s">
        <v>694</v>
      </c>
      <c r="AI198" s="216" t="s">
        <v>694</v>
      </c>
      <c r="AJ198" s="155">
        <v>1097</v>
      </c>
      <c r="AK198" s="155">
        <f t="shared" ref="AK198:AK214" si="167">P198</f>
        <v>829</v>
      </c>
      <c r="AL198" s="155">
        <v>392</v>
      </c>
      <c r="AN198" s="173"/>
      <c r="AO198" s="173"/>
    </row>
    <row r="199" spans="2:41">
      <c r="B199" s="468"/>
      <c r="C199" s="34"/>
      <c r="D199" s="36" t="s">
        <v>22</v>
      </c>
      <c r="E199" s="171">
        <v>0</v>
      </c>
      <c r="F199" s="171">
        <v>0</v>
      </c>
      <c r="G199" s="171">
        <v>0</v>
      </c>
      <c r="H199" s="171">
        <v>0</v>
      </c>
      <c r="I199" s="171">
        <v>0</v>
      </c>
      <c r="J199" s="171">
        <v>157302</v>
      </c>
      <c r="K199" s="171">
        <v>165836</v>
      </c>
      <c r="L199" s="171">
        <v>165844</v>
      </c>
      <c r="M199" s="171">
        <v>165844</v>
      </c>
      <c r="N199" s="171">
        <v>165853</v>
      </c>
      <c r="O199" s="171">
        <v>165861</v>
      </c>
      <c r="P199" s="171">
        <v>165870</v>
      </c>
      <c r="R199" s="155">
        <v>0</v>
      </c>
      <c r="S199" s="155">
        <v>0</v>
      </c>
      <c r="T199" s="155">
        <v>0</v>
      </c>
      <c r="U199" s="155">
        <v>0</v>
      </c>
      <c r="V199" s="155">
        <v>0</v>
      </c>
      <c r="W199" s="155">
        <v>0</v>
      </c>
      <c r="X199" s="155">
        <v>0</v>
      </c>
      <c r="Y199" s="155">
        <f t="shared" ref="Y199:Y213" si="168">J199</f>
        <v>157302</v>
      </c>
      <c r="Z199" s="155">
        <v>157302</v>
      </c>
      <c r="AA199" s="155">
        <f t="shared" ref="AA199:AA213" si="169">K199</f>
        <v>165836</v>
      </c>
      <c r="AB199" s="155">
        <v>165836</v>
      </c>
      <c r="AC199" s="155">
        <f t="shared" ref="AC199:AC213" si="170">L199</f>
        <v>165844</v>
      </c>
      <c r="AD199" s="155">
        <v>165844</v>
      </c>
      <c r="AE199" s="155">
        <f t="shared" ref="AE199:AE213" si="171">M199</f>
        <v>165844</v>
      </c>
      <c r="AF199" s="155">
        <v>165844</v>
      </c>
      <c r="AG199" s="155">
        <f t="shared" ref="AG199:AG213" si="172">N199</f>
        <v>165853</v>
      </c>
      <c r="AH199" s="155">
        <v>165853</v>
      </c>
      <c r="AI199" s="155">
        <f t="shared" ref="AI199:AI213" si="173">O199</f>
        <v>165861</v>
      </c>
      <c r="AJ199" s="155">
        <v>165861</v>
      </c>
      <c r="AK199" s="155">
        <f t="shared" si="167"/>
        <v>165870</v>
      </c>
      <c r="AL199" s="155">
        <v>165870</v>
      </c>
      <c r="AN199" s="173"/>
      <c r="AO199" s="173"/>
    </row>
    <row r="200" spans="2:41">
      <c r="B200" s="468"/>
      <c r="C200" s="34"/>
      <c r="D200" s="36" t="s">
        <v>21</v>
      </c>
      <c r="E200" s="171">
        <v>0</v>
      </c>
      <c r="F200" s="171">
        <v>0</v>
      </c>
      <c r="G200" s="171">
        <v>0</v>
      </c>
      <c r="H200" s="171">
        <v>0</v>
      </c>
      <c r="I200" s="171">
        <v>0</v>
      </c>
      <c r="J200" s="171">
        <v>0</v>
      </c>
      <c r="K200" s="171">
        <v>0</v>
      </c>
      <c r="L200" s="171">
        <v>0</v>
      </c>
      <c r="M200" s="171">
        <v>0</v>
      </c>
      <c r="N200" s="171">
        <v>0</v>
      </c>
      <c r="O200" s="171">
        <v>3773</v>
      </c>
      <c r="P200" s="171">
        <v>3920</v>
      </c>
      <c r="R200" s="155">
        <v>0</v>
      </c>
      <c r="S200" s="155">
        <v>0</v>
      </c>
      <c r="T200" s="155">
        <v>0</v>
      </c>
      <c r="U200" s="155">
        <v>0</v>
      </c>
      <c r="V200" s="155">
        <v>0</v>
      </c>
      <c r="W200" s="155">
        <v>0</v>
      </c>
      <c r="X200" s="155">
        <v>0</v>
      </c>
      <c r="Y200" s="155">
        <f t="shared" si="168"/>
        <v>0</v>
      </c>
      <c r="Z200" s="155">
        <v>0</v>
      </c>
      <c r="AA200" s="155">
        <f t="shared" si="169"/>
        <v>0</v>
      </c>
      <c r="AB200" s="155">
        <v>0</v>
      </c>
      <c r="AC200" s="155">
        <v>0</v>
      </c>
      <c r="AD200" s="155">
        <v>0</v>
      </c>
      <c r="AE200" s="155">
        <v>0</v>
      </c>
      <c r="AF200" s="155">
        <v>0</v>
      </c>
      <c r="AG200" s="155">
        <v>0</v>
      </c>
      <c r="AH200" s="155">
        <v>1126</v>
      </c>
      <c r="AI200" s="155">
        <f t="shared" si="173"/>
        <v>3773</v>
      </c>
      <c r="AJ200" s="155">
        <v>4083</v>
      </c>
      <c r="AK200" s="155">
        <f t="shared" si="167"/>
        <v>3920</v>
      </c>
      <c r="AL200" s="155">
        <v>3490</v>
      </c>
      <c r="AN200" s="173"/>
      <c r="AO200" s="173"/>
    </row>
    <row r="201" spans="2:41">
      <c r="B201" s="468"/>
      <c r="C201" s="34"/>
      <c r="D201" s="36" t="s">
        <v>614</v>
      </c>
      <c r="E201" s="171">
        <v>614790</v>
      </c>
      <c r="F201" s="171">
        <v>592938</v>
      </c>
      <c r="G201" s="171">
        <v>592619</v>
      </c>
      <c r="H201" s="171">
        <v>606659</v>
      </c>
      <c r="I201" s="171">
        <v>706627</v>
      </c>
      <c r="J201" s="171">
        <v>1955829</v>
      </c>
      <c r="K201" s="171">
        <v>1157975</v>
      </c>
      <c r="L201" s="171">
        <v>1156437</v>
      </c>
      <c r="M201" s="171">
        <v>1059083</v>
      </c>
      <c r="N201" s="171">
        <v>1062679</v>
      </c>
      <c r="O201" s="171">
        <v>1076084</v>
      </c>
      <c r="P201" s="171">
        <v>1075425</v>
      </c>
      <c r="R201" s="155">
        <v>591731</v>
      </c>
      <c r="S201" s="155">
        <f t="shared" ref="S201:S213" si="174">G201</f>
        <v>592619</v>
      </c>
      <c r="T201" s="155">
        <v>655356</v>
      </c>
      <c r="U201" s="155">
        <f t="shared" ref="U201:U213" si="175">H201</f>
        <v>606659</v>
      </c>
      <c r="V201" s="155">
        <v>609467</v>
      </c>
      <c r="W201" s="155">
        <f t="shared" ref="W201:W213" si="176">I201</f>
        <v>706627</v>
      </c>
      <c r="X201" s="155">
        <v>749924</v>
      </c>
      <c r="Y201" s="155">
        <f t="shared" si="168"/>
        <v>1955829</v>
      </c>
      <c r="Z201" s="155">
        <v>1187196</v>
      </c>
      <c r="AA201" s="155">
        <f t="shared" si="169"/>
        <v>1157975</v>
      </c>
      <c r="AB201" s="155">
        <v>1153591</v>
      </c>
      <c r="AC201" s="155">
        <f t="shared" si="170"/>
        <v>1156437</v>
      </c>
      <c r="AD201" s="155">
        <v>1070440</v>
      </c>
      <c r="AE201" s="155">
        <f t="shared" si="171"/>
        <v>1059083</v>
      </c>
      <c r="AF201" s="155">
        <v>1070931</v>
      </c>
      <c r="AG201" s="155">
        <f t="shared" si="172"/>
        <v>1062679</v>
      </c>
      <c r="AH201" s="155">
        <v>1075907</v>
      </c>
      <c r="AI201" s="155">
        <f t="shared" si="173"/>
        <v>1076084</v>
      </c>
      <c r="AJ201" s="155">
        <v>1075856</v>
      </c>
      <c r="AK201" s="155">
        <f t="shared" si="167"/>
        <v>1075425</v>
      </c>
      <c r="AL201" s="155">
        <v>1073626</v>
      </c>
      <c r="AN201" s="173"/>
      <c r="AO201" s="173"/>
    </row>
    <row r="202" spans="2:41">
      <c r="B202" s="468"/>
      <c r="C202" s="34"/>
      <c r="D202" s="36" t="s">
        <v>28</v>
      </c>
      <c r="E202" s="171">
        <v>0</v>
      </c>
      <c r="F202" s="171">
        <v>0</v>
      </c>
      <c r="G202" s="171">
        <v>0</v>
      </c>
      <c r="H202" s="171">
        <v>0</v>
      </c>
      <c r="I202" s="171">
        <v>0</v>
      </c>
      <c r="J202" s="171">
        <v>0</v>
      </c>
      <c r="K202" s="171">
        <v>0</v>
      </c>
      <c r="L202" s="171">
        <v>0</v>
      </c>
      <c r="M202" s="171">
        <v>19</v>
      </c>
      <c r="N202" s="171">
        <v>0</v>
      </c>
      <c r="O202" s="171">
        <v>0</v>
      </c>
      <c r="P202" s="171">
        <v>0</v>
      </c>
      <c r="R202" s="155">
        <v>0</v>
      </c>
      <c r="S202" s="155">
        <v>0</v>
      </c>
      <c r="T202" s="155">
        <v>0</v>
      </c>
      <c r="U202" s="155">
        <v>0</v>
      </c>
      <c r="V202" s="155">
        <v>0</v>
      </c>
      <c r="W202" s="155">
        <v>0</v>
      </c>
      <c r="X202" s="155">
        <v>0</v>
      </c>
      <c r="Y202" s="155">
        <v>0</v>
      </c>
      <c r="Z202" s="155">
        <v>0</v>
      </c>
      <c r="AA202" s="155">
        <v>0</v>
      </c>
      <c r="AB202" s="155">
        <v>0</v>
      </c>
      <c r="AC202" s="155">
        <f t="shared" si="170"/>
        <v>0</v>
      </c>
      <c r="AD202" s="155">
        <v>0</v>
      </c>
      <c r="AE202" s="155">
        <f t="shared" si="171"/>
        <v>19</v>
      </c>
      <c r="AF202" s="155">
        <v>20</v>
      </c>
      <c r="AG202" s="155">
        <f t="shared" si="172"/>
        <v>0</v>
      </c>
      <c r="AH202" s="155">
        <v>1</v>
      </c>
      <c r="AI202" s="155">
        <f t="shared" si="173"/>
        <v>0</v>
      </c>
      <c r="AJ202" s="155">
        <v>0</v>
      </c>
      <c r="AK202" s="155">
        <f t="shared" si="167"/>
        <v>0</v>
      </c>
      <c r="AL202" s="155">
        <v>24</v>
      </c>
      <c r="AN202" s="173"/>
      <c r="AO202" s="173"/>
    </row>
    <row r="203" spans="2:41">
      <c r="B203" s="468"/>
      <c r="C203" s="34"/>
      <c r="D203" s="36" t="s">
        <v>724</v>
      </c>
      <c r="E203" s="171">
        <v>14008</v>
      </c>
      <c r="F203" s="171">
        <v>1550</v>
      </c>
      <c r="G203" s="171">
        <v>4688</v>
      </c>
      <c r="H203" s="171">
        <v>31644</v>
      </c>
      <c r="I203" s="171">
        <v>56366</v>
      </c>
      <c r="J203" s="171">
        <v>76945</v>
      </c>
      <c r="K203" s="171">
        <v>7979</v>
      </c>
      <c r="L203" s="171">
        <v>18005</v>
      </c>
      <c r="M203" s="171">
        <v>23598</v>
      </c>
      <c r="N203" s="171">
        <v>15232</v>
      </c>
      <c r="O203" s="171">
        <v>3600</v>
      </c>
      <c r="P203" s="171">
        <v>6071</v>
      </c>
      <c r="R203" s="155">
        <v>1296</v>
      </c>
      <c r="S203" s="155">
        <f t="shared" si="174"/>
        <v>4688</v>
      </c>
      <c r="T203" s="155">
        <v>4099</v>
      </c>
      <c r="U203" s="155">
        <f t="shared" si="175"/>
        <v>31644</v>
      </c>
      <c r="V203" s="155">
        <v>22018</v>
      </c>
      <c r="W203" s="155">
        <f t="shared" si="176"/>
        <v>56366</v>
      </c>
      <c r="X203" s="155">
        <v>17051</v>
      </c>
      <c r="Y203" s="155">
        <f t="shared" si="168"/>
        <v>76945</v>
      </c>
      <c r="Z203" s="155">
        <v>21733</v>
      </c>
      <c r="AA203" s="155">
        <f t="shared" si="169"/>
        <v>7979</v>
      </c>
      <c r="AB203" s="155">
        <v>19914</v>
      </c>
      <c r="AC203" s="155">
        <f t="shared" si="170"/>
        <v>18005</v>
      </c>
      <c r="AD203" s="155">
        <v>19405</v>
      </c>
      <c r="AE203" s="155">
        <f t="shared" si="171"/>
        <v>23598</v>
      </c>
      <c r="AF203" s="155">
        <v>15529</v>
      </c>
      <c r="AG203" s="155">
        <f t="shared" si="172"/>
        <v>15232</v>
      </c>
      <c r="AH203" s="155">
        <v>1411</v>
      </c>
      <c r="AI203" s="155">
        <f t="shared" si="173"/>
        <v>3600</v>
      </c>
      <c r="AJ203" s="155">
        <v>1535</v>
      </c>
      <c r="AK203" s="155">
        <f t="shared" si="167"/>
        <v>6071</v>
      </c>
      <c r="AL203" s="155">
        <v>3571</v>
      </c>
      <c r="AN203" s="173"/>
      <c r="AO203" s="173"/>
    </row>
    <row r="204" spans="2:41">
      <c r="B204" s="468"/>
      <c r="C204" s="34"/>
      <c r="D204" s="36" t="s">
        <v>616</v>
      </c>
      <c r="E204" s="171">
        <v>5984</v>
      </c>
      <c r="F204" s="171">
        <v>6204</v>
      </c>
      <c r="G204" s="171">
        <v>8353</v>
      </c>
      <c r="H204" s="171">
        <v>85942</v>
      </c>
      <c r="I204" s="171">
        <v>11254</v>
      </c>
      <c r="J204" s="171">
        <v>17669</v>
      </c>
      <c r="K204" s="171">
        <v>10367</v>
      </c>
      <c r="L204" s="171">
        <v>9944</v>
      </c>
      <c r="M204" s="171">
        <v>2984</v>
      </c>
      <c r="N204" s="171">
        <v>3097</v>
      </c>
      <c r="O204" s="171">
        <v>2182</v>
      </c>
      <c r="P204" s="171">
        <v>3757</v>
      </c>
      <c r="R204" s="155">
        <v>7345</v>
      </c>
      <c r="S204" s="155">
        <f t="shared" si="174"/>
        <v>8353</v>
      </c>
      <c r="T204" s="155">
        <v>117824</v>
      </c>
      <c r="U204" s="155">
        <f t="shared" si="175"/>
        <v>85942</v>
      </c>
      <c r="V204" s="155">
        <v>107951</v>
      </c>
      <c r="W204" s="155">
        <f t="shared" si="176"/>
        <v>11254</v>
      </c>
      <c r="X204" s="155">
        <v>17358</v>
      </c>
      <c r="Y204" s="155">
        <f t="shared" si="168"/>
        <v>17669</v>
      </c>
      <c r="Z204" s="155">
        <v>20333</v>
      </c>
      <c r="AA204" s="155">
        <f t="shared" si="169"/>
        <v>10367</v>
      </c>
      <c r="AB204" s="155">
        <v>15856</v>
      </c>
      <c r="AC204" s="155">
        <f t="shared" si="170"/>
        <v>9944</v>
      </c>
      <c r="AD204" s="155">
        <v>4023</v>
      </c>
      <c r="AE204" s="155">
        <f t="shared" si="171"/>
        <v>2984</v>
      </c>
      <c r="AF204" s="155">
        <v>2265</v>
      </c>
      <c r="AG204" s="155">
        <f t="shared" si="172"/>
        <v>3097</v>
      </c>
      <c r="AH204" s="155">
        <v>4106</v>
      </c>
      <c r="AI204" s="155">
        <f t="shared" si="173"/>
        <v>2182</v>
      </c>
      <c r="AJ204" s="155">
        <v>1725</v>
      </c>
      <c r="AK204" s="155">
        <f t="shared" si="167"/>
        <v>3757</v>
      </c>
      <c r="AL204" s="155">
        <v>3139</v>
      </c>
      <c r="AN204" s="173"/>
      <c r="AO204" s="173"/>
    </row>
    <row r="205" spans="2:41">
      <c r="B205" s="468"/>
      <c r="C205" s="34"/>
      <c r="D205" s="32" t="s">
        <v>617</v>
      </c>
      <c r="E205" s="350">
        <f t="shared" ref="E205:N205" si="177">SUM(E197:E204)</f>
        <v>634836</v>
      </c>
      <c r="F205" s="350">
        <f t="shared" si="177"/>
        <v>600737</v>
      </c>
      <c r="G205" s="350">
        <f t="shared" si="177"/>
        <v>605697</v>
      </c>
      <c r="H205" s="350">
        <f t="shared" si="177"/>
        <v>724273</v>
      </c>
      <c r="I205" s="350">
        <f t="shared" si="177"/>
        <v>774314</v>
      </c>
      <c r="J205" s="350">
        <f t="shared" si="177"/>
        <v>2207820</v>
      </c>
      <c r="K205" s="350">
        <f t="shared" si="177"/>
        <v>1342246</v>
      </c>
      <c r="L205" s="350">
        <f t="shared" si="177"/>
        <v>1350322</v>
      </c>
      <c r="M205" s="350">
        <f t="shared" si="177"/>
        <v>1251760</v>
      </c>
      <c r="N205" s="350">
        <f t="shared" si="177"/>
        <v>1251653</v>
      </c>
      <c r="O205" s="350">
        <f>SUM(O197:O204)</f>
        <v>1253933</v>
      </c>
      <c r="P205" s="350">
        <f>SUM(P197:P204)</f>
        <v>1257708</v>
      </c>
      <c r="R205" s="160">
        <v>600408</v>
      </c>
      <c r="S205" s="160">
        <f t="shared" si="174"/>
        <v>605697</v>
      </c>
      <c r="T205" s="160">
        <f t="shared" ref="T205:AJ205" si="178">SUM(T197:T204)</f>
        <v>777312</v>
      </c>
      <c r="U205" s="160">
        <f t="shared" si="175"/>
        <v>724273</v>
      </c>
      <c r="V205" s="160">
        <v>739505</v>
      </c>
      <c r="W205" s="160">
        <f t="shared" si="176"/>
        <v>774314</v>
      </c>
      <c r="X205" s="160">
        <v>784392</v>
      </c>
      <c r="Y205" s="160">
        <f t="shared" si="168"/>
        <v>2207820</v>
      </c>
      <c r="Z205" s="160">
        <v>1386641</v>
      </c>
      <c r="AA205" s="160">
        <f t="shared" si="169"/>
        <v>1342246</v>
      </c>
      <c r="AB205" s="160">
        <f t="shared" si="178"/>
        <v>1355319</v>
      </c>
      <c r="AC205" s="160">
        <f t="shared" si="170"/>
        <v>1350322</v>
      </c>
      <c r="AD205" s="160">
        <f t="shared" si="178"/>
        <v>1260214</v>
      </c>
      <c r="AE205" s="160">
        <f t="shared" si="171"/>
        <v>1251760</v>
      </c>
      <c r="AF205" s="160">
        <f t="shared" si="178"/>
        <v>1255961</v>
      </c>
      <c r="AG205" s="160">
        <f t="shared" si="172"/>
        <v>1251653</v>
      </c>
      <c r="AH205" s="160">
        <v>1251281</v>
      </c>
      <c r="AI205" s="160">
        <f t="shared" si="173"/>
        <v>1253933</v>
      </c>
      <c r="AJ205" s="160">
        <f t="shared" si="178"/>
        <v>1252388</v>
      </c>
      <c r="AK205" s="160">
        <f t="shared" si="167"/>
        <v>1257708</v>
      </c>
      <c r="AL205" s="160">
        <v>1251391</v>
      </c>
      <c r="AN205" s="173"/>
      <c r="AO205" s="173"/>
    </row>
    <row r="206" spans="2:41">
      <c r="B206" s="468"/>
      <c r="C206" s="34"/>
      <c r="D206" s="36" t="s">
        <v>618</v>
      </c>
      <c r="E206" s="171">
        <v>106301</v>
      </c>
      <c r="F206" s="171">
        <v>68705</v>
      </c>
      <c r="G206" s="171">
        <v>74130</v>
      </c>
      <c r="H206" s="171">
        <v>0</v>
      </c>
      <c r="I206" s="171">
        <v>0</v>
      </c>
      <c r="J206" s="171">
        <v>603619</v>
      </c>
      <c r="K206" s="171">
        <v>26899</v>
      </c>
      <c r="L206" s="171">
        <v>144852</v>
      </c>
      <c r="M206" s="171">
        <v>22197</v>
      </c>
      <c r="N206" s="171">
        <v>21000</v>
      </c>
      <c r="O206" s="171">
        <v>22810</v>
      </c>
      <c r="P206" s="171">
        <v>16914</v>
      </c>
      <c r="R206" s="155">
        <v>70377</v>
      </c>
      <c r="S206" s="155">
        <f t="shared" si="174"/>
        <v>74130</v>
      </c>
      <c r="T206" s="155">
        <v>37707</v>
      </c>
      <c r="U206" s="155">
        <f t="shared" si="175"/>
        <v>0</v>
      </c>
      <c r="V206" s="155">
        <v>0</v>
      </c>
      <c r="W206" s="155">
        <v>0</v>
      </c>
      <c r="X206" s="155">
        <v>0</v>
      </c>
      <c r="Y206" s="155">
        <f t="shared" si="168"/>
        <v>603619</v>
      </c>
      <c r="Z206" s="155">
        <v>44344</v>
      </c>
      <c r="AA206" s="155">
        <f t="shared" si="169"/>
        <v>26899</v>
      </c>
      <c r="AB206" s="155">
        <v>35000</v>
      </c>
      <c r="AC206" s="155">
        <f t="shared" si="170"/>
        <v>144852</v>
      </c>
      <c r="AD206" s="155">
        <v>24891</v>
      </c>
      <c r="AE206" s="155">
        <f t="shared" si="171"/>
        <v>22197</v>
      </c>
      <c r="AF206" s="155">
        <v>0</v>
      </c>
      <c r="AG206" s="155">
        <f t="shared" si="172"/>
        <v>21000</v>
      </c>
      <c r="AH206" s="155">
        <v>22245</v>
      </c>
      <c r="AI206" s="155">
        <f t="shared" si="173"/>
        <v>22810</v>
      </c>
      <c r="AJ206" s="155">
        <v>14775</v>
      </c>
      <c r="AK206" s="155">
        <f t="shared" si="167"/>
        <v>16914</v>
      </c>
      <c r="AL206" s="155">
        <v>18080</v>
      </c>
      <c r="AN206" s="173"/>
      <c r="AO206" s="173"/>
    </row>
    <row r="207" spans="2:41">
      <c r="B207" s="468"/>
      <c r="C207" s="34"/>
      <c r="D207" s="36" t="s">
        <v>619</v>
      </c>
      <c r="E207" s="171">
        <v>0</v>
      </c>
      <c r="F207" s="171">
        <v>0</v>
      </c>
      <c r="G207" s="171">
        <v>0</v>
      </c>
      <c r="H207" s="171">
        <v>0</v>
      </c>
      <c r="I207" s="171">
        <v>0</v>
      </c>
      <c r="J207" s="171">
        <v>-1881</v>
      </c>
      <c r="K207" s="171">
        <v>-808</v>
      </c>
      <c r="L207" s="171">
        <v>0</v>
      </c>
      <c r="M207" s="171">
        <v>3</v>
      </c>
      <c r="N207" s="171">
        <v>41</v>
      </c>
      <c r="O207" s="171">
        <v>38</v>
      </c>
      <c r="P207" s="171">
        <v>322</v>
      </c>
      <c r="R207" s="155">
        <v>0</v>
      </c>
      <c r="S207" s="155">
        <v>0</v>
      </c>
      <c r="T207" s="155">
        <v>0</v>
      </c>
      <c r="U207" s="155">
        <v>0</v>
      </c>
      <c r="V207" s="155">
        <v>0</v>
      </c>
      <c r="W207" s="155">
        <v>0</v>
      </c>
      <c r="X207" s="155">
        <v>0</v>
      </c>
      <c r="Y207" s="155">
        <f t="shared" si="168"/>
        <v>-1881</v>
      </c>
      <c r="Z207" s="155">
        <v>8</v>
      </c>
      <c r="AA207" s="155">
        <f t="shared" si="169"/>
        <v>-808</v>
      </c>
      <c r="AB207" s="155">
        <v>0</v>
      </c>
      <c r="AC207" s="155">
        <f t="shared" si="170"/>
        <v>0</v>
      </c>
      <c r="AD207" s="155">
        <v>0</v>
      </c>
      <c r="AE207" s="155">
        <f t="shared" si="171"/>
        <v>3</v>
      </c>
      <c r="AF207" s="155">
        <v>3</v>
      </c>
      <c r="AG207" s="155">
        <f t="shared" si="172"/>
        <v>41</v>
      </c>
      <c r="AH207" s="155">
        <v>36</v>
      </c>
      <c r="AI207" s="155">
        <f t="shared" si="173"/>
        <v>38</v>
      </c>
      <c r="AJ207" s="155">
        <f>613+13</f>
        <v>626</v>
      </c>
      <c r="AK207" s="155">
        <f t="shared" si="167"/>
        <v>322</v>
      </c>
      <c r="AL207" s="155">
        <v>66</v>
      </c>
      <c r="AN207" s="173"/>
      <c r="AO207" s="173"/>
    </row>
    <row r="208" spans="2:41">
      <c r="B208" s="468"/>
      <c r="C208" s="34"/>
      <c r="D208" s="36" t="s">
        <v>764</v>
      </c>
      <c r="E208" s="216" t="s">
        <v>694</v>
      </c>
      <c r="F208" s="216" t="s">
        <v>694</v>
      </c>
      <c r="G208" s="216" t="s">
        <v>694</v>
      </c>
      <c r="H208" s="216" t="s">
        <v>694</v>
      </c>
      <c r="I208" s="216" t="s">
        <v>694</v>
      </c>
      <c r="J208" s="216" t="s">
        <v>694</v>
      </c>
      <c r="K208" s="216" t="s">
        <v>694</v>
      </c>
      <c r="L208" s="216" t="s">
        <v>694</v>
      </c>
      <c r="M208" s="216" t="s">
        <v>694</v>
      </c>
      <c r="N208" s="216" t="s">
        <v>694</v>
      </c>
      <c r="O208" s="216" t="s">
        <v>694</v>
      </c>
      <c r="P208" s="171">
        <v>323</v>
      </c>
      <c r="R208" s="216" t="s">
        <v>694</v>
      </c>
      <c r="S208" s="216" t="s">
        <v>694</v>
      </c>
      <c r="T208" s="216" t="s">
        <v>694</v>
      </c>
      <c r="U208" s="216" t="s">
        <v>694</v>
      </c>
      <c r="V208" s="216" t="s">
        <v>694</v>
      </c>
      <c r="W208" s="216" t="s">
        <v>694</v>
      </c>
      <c r="X208" s="216" t="s">
        <v>694</v>
      </c>
      <c r="Y208" s="216" t="s">
        <v>694</v>
      </c>
      <c r="Z208" s="216" t="s">
        <v>694</v>
      </c>
      <c r="AA208" s="216" t="s">
        <v>694</v>
      </c>
      <c r="AB208" s="216" t="s">
        <v>694</v>
      </c>
      <c r="AC208" s="216" t="s">
        <v>694</v>
      </c>
      <c r="AD208" s="216" t="s">
        <v>694</v>
      </c>
      <c r="AE208" s="216" t="s">
        <v>694</v>
      </c>
      <c r="AF208" s="216" t="s">
        <v>694</v>
      </c>
      <c r="AG208" s="216" t="s">
        <v>694</v>
      </c>
      <c r="AH208" s="216" t="s">
        <v>694</v>
      </c>
      <c r="AI208" s="216" t="s">
        <v>694</v>
      </c>
      <c r="AJ208" s="216" t="s">
        <v>694</v>
      </c>
      <c r="AK208" s="155">
        <f t="shared" si="167"/>
        <v>323</v>
      </c>
      <c r="AL208" s="155">
        <v>145</v>
      </c>
      <c r="AN208" s="173"/>
      <c r="AO208" s="173"/>
    </row>
    <row r="209" spans="2:41">
      <c r="B209" s="468"/>
      <c r="C209" s="34"/>
      <c r="D209" s="36" t="s">
        <v>44</v>
      </c>
      <c r="E209" s="171">
        <v>2205</v>
      </c>
      <c r="F209" s="171">
        <v>1221</v>
      </c>
      <c r="G209" s="171">
        <v>585</v>
      </c>
      <c r="H209" s="171">
        <v>1431</v>
      </c>
      <c r="I209" s="171">
        <v>677</v>
      </c>
      <c r="J209" s="171">
        <v>149516</v>
      </c>
      <c r="K209" s="171">
        <v>30155</v>
      </c>
      <c r="L209" s="171">
        <v>18899</v>
      </c>
      <c r="M209" s="171">
        <v>6222</v>
      </c>
      <c r="N209" s="171">
        <v>8165</v>
      </c>
      <c r="O209" s="171">
        <v>8220</v>
      </c>
      <c r="P209" s="171">
        <v>11619</v>
      </c>
      <c r="R209" s="155">
        <v>701</v>
      </c>
      <c r="S209" s="155">
        <f t="shared" si="174"/>
        <v>585</v>
      </c>
      <c r="T209" s="155">
        <v>1280</v>
      </c>
      <c r="U209" s="155">
        <f t="shared" si="175"/>
        <v>1431</v>
      </c>
      <c r="V209" s="155">
        <v>614</v>
      </c>
      <c r="W209" s="155">
        <f t="shared" si="176"/>
        <v>677</v>
      </c>
      <c r="X209" s="155">
        <v>3429</v>
      </c>
      <c r="Y209" s="155">
        <f t="shared" si="168"/>
        <v>149516</v>
      </c>
      <c r="Z209" s="155">
        <v>37895</v>
      </c>
      <c r="AA209" s="155">
        <f t="shared" si="169"/>
        <v>30155</v>
      </c>
      <c r="AB209" s="155">
        <v>24601</v>
      </c>
      <c r="AC209" s="155">
        <f t="shared" si="170"/>
        <v>18899</v>
      </c>
      <c r="AD209" s="155">
        <v>6307</v>
      </c>
      <c r="AE209" s="155">
        <f t="shared" si="171"/>
        <v>6222</v>
      </c>
      <c r="AF209" s="155">
        <v>6086</v>
      </c>
      <c r="AG209" s="155">
        <f t="shared" si="172"/>
        <v>8165</v>
      </c>
      <c r="AH209" s="155">
        <v>6794</v>
      </c>
      <c r="AI209" s="155">
        <f t="shared" si="173"/>
        <v>8220</v>
      </c>
      <c r="AJ209" s="155">
        <v>8150</v>
      </c>
      <c r="AK209" s="155">
        <f t="shared" si="167"/>
        <v>11619</v>
      </c>
      <c r="AL209" s="155">
        <v>6674</v>
      </c>
      <c r="AN209" s="173"/>
      <c r="AO209" s="173"/>
    </row>
    <row r="210" spans="2:41">
      <c r="B210" s="468"/>
      <c r="C210" s="34"/>
      <c r="D210" s="36" t="s">
        <v>620</v>
      </c>
      <c r="E210" s="171">
        <v>0</v>
      </c>
      <c r="F210" s="171">
        <v>0</v>
      </c>
      <c r="G210" s="171">
        <v>0</v>
      </c>
      <c r="H210" s="171">
        <v>0</v>
      </c>
      <c r="I210" s="171">
        <v>0</v>
      </c>
      <c r="J210" s="171">
        <v>232706</v>
      </c>
      <c r="K210" s="171">
        <v>16200</v>
      </c>
      <c r="L210" s="171">
        <v>29119</v>
      </c>
      <c r="M210" s="171">
        <v>636</v>
      </c>
      <c r="N210" s="171">
        <v>0</v>
      </c>
      <c r="O210" s="171">
        <v>0</v>
      </c>
      <c r="P210" s="171">
        <v>0</v>
      </c>
      <c r="R210" s="155">
        <v>0</v>
      </c>
      <c r="S210" s="155">
        <f t="shared" si="174"/>
        <v>0</v>
      </c>
      <c r="T210" s="155">
        <v>0</v>
      </c>
      <c r="U210" s="155">
        <f t="shared" si="175"/>
        <v>0</v>
      </c>
      <c r="V210" s="155">
        <v>0</v>
      </c>
      <c r="W210" s="155">
        <f t="shared" si="176"/>
        <v>0</v>
      </c>
      <c r="X210" s="155">
        <v>0</v>
      </c>
      <c r="Y210" s="155">
        <f t="shared" si="168"/>
        <v>232706</v>
      </c>
      <c r="Z210" s="155">
        <v>12204</v>
      </c>
      <c r="AA210" s="155">
        <f t="shared" si="169"/>
        <v>16200</v>
      </c>
      <c r="AB210" s="155">
        <v>11343</v>
      </c>
      <c r="AC210" s="155">
        <f t="shared" si="170"/>
        <v>29119</v>
      </c>
      <c r="AD210" s="155">
        <v>748</v>
      </c>
      <c r="AE210" s="155">
        <f t="shared" si="171"/>
        <v>636</v>
      </c>
      <c r="AF210" s="155">
        <v>26609</v>
      </c>
      <c r="AG210" s="155">
        <f t="shared" si="172"/>
        <v>0</v>
      </c>
      <c r="AH210" s="155">
        <v>0</v>
      </c>
      <c r="AI210" s="155">
        <f t="shared" si="173"/>
        <v>0</v>
      </c>
      <c r="AJ210" s="155">
        <v>0</v>
      </c>
      <c r="AK210" s="155">
        <f t="shared" si="167"/>
        <v>0</v>
      </c>
      <c r="AL210" s="155">
        <v>0</v>
      </c>
      <c r="AN210" s="173"/>
      <c r="AO210" s="173"/>
    </row>
    <row r="211" spans="2:41">
      <c r="B211" s="468"/>
      <c r="C211" s="34"/>
      <c r="D211" s="36" t="s">
        <v>765</v>
      </c>
      <c r="E211" s="216" t="s">
        <v>694</v>
      </c>
      <c r="F211" s="216" t="s">
        <v>694</v>
      </c>
      <c r="G211" s="216" t="s">
        <v>694</v>
      </c>
      <c r="H211" s="216" t="s">
        <v>694</v>
      </c>
      <c r="I211" s="216" t="s">
        <v>694</v>
      </c>
      <c r="J211" s="216" t="s">
        <v>694</v>
      </c>
      <c r="K211" s="216" t="s">
        <v>694</v>
      </c>
      <c r="L211" s="216" t="s">
        <v>694</v>
      </c>
      <c r="M211" s="216" t="s">
        <v>694</v>
      </c>
      <c r="N211" s="216" t="s">
        <v>694</v>
      </c>
      <c r="O211" s="216" t="s">
        <v>694</v>
      </c>
      <c r="P211" s="171">
        <v>500</v>
      </c>
      <c r="R211" s="216" t="s">
        <v>694</v>
      </c>
      <c r="S211" s="216" t="s">
        <v>694</v>
      </c>
      <c r="T211" s="216" t="s">
        <v>694</v>
      </c>
      <c r="U211" s="216" t="s">
        <v>694</v>
      </c>
      <c r="V211" s="216" t="s">
        <v>694</v>
      </c>
      <c r="W211" s="216" t="s">
        <v>694</v>
      </c>
      <c r="X211" s="216" t="s">
        <v>694</v>
      </c>
      <c r="Y211" s="216" t="s">
        <v>694</v>
      </c>
      <c r="Z211" s="216" t="s">
        <v>694</v>
      </c>
      <c r="AA211" s="216" t="s">
        <v>694</v>
      </c>
      <c r="AB211" s="216" t="s">
        <v>694</v>
      </c>
      <c r="AC211" s="216" t="s">
        <v>694</v>
      </c>
      <c r="AD211" s="216" t="s">
        <v>694</v>
      </c>
      <c r="AE211" s="216" t="s">
        <v>694</v>
      </c>
      <c r="AF211" s="216" t="s">
        <v>694</v>
      </c>
      <c r="AG211" s="216" t="s">
        <v>694</v>
      </c>
      <c r="AH211" s="216" t="s">
        <v>694</v>
      </c>
      <c r="AI211" s="216" t="s">
        <v>694</v>
      </c>
      <c r="AJ211" s="216" t="s">
        <v>694</v>
      </c>
      <c r="AK211" s="155">
        <f t="shared" si="167"/>
        <v>500</v>
      </c>
      <c r="AL211" s="155">
        <v>407</v>
      </c>
      <c r="AN211" s="173"/>
      <c r="AO211" s="173"/>
    </row>
    <row r="212" spans="2:41">
      <c r="B212" s="468"/>
      <c r="C212" s="34"/>
      <c r="D212" s="36" t="s">
        <v>621</v>
      </c>
      <c r="E212" s="171">
        <v>7</v>
      </c>
      <c r="F212" s="171"/>
      <c r="G212" s="171">
        <v>3</v>
      </c>
      <c r="H212" s="171">
        <v>494</v>
      </c>
      <c r="I212" s="171">
        <v>22</v>
      </c>
      <c r="J212" s="171">
        <v>2</v>
      </c>
      <c r="K212" s="171">
        <v>53</v>
      </c>
      <c r="L212" s="171">
        <v>310</v>
      </c>
      <c r="M212" s="171">
        <v>0</v>
      </c>
      <c r="N212" s="171">
        <v>0</v>
      </c>
      <c r="O212" s="171">
        <v>515</v>
      </c>
      <c r="P212" s="171">
        <v>1</v>
      </c>
      <c r="R212" s="155">
        <v>0</v>
      </c>
      <c r="S212" s="155">
        <f t="shared" si="174"/>
        <v>3</v>
      </c>
      <c r="T212" s="155">
        <v>282</v>
      </c>
      <c r="U212" s="155">
        <f t="shared" si="175"/>
        <v>494</v>
      </c>
      <c r="V212" s="155">
        <v>346</v>
      </c>
      <c r="W212" s="155">
        <f t="shared" si="176"/>
        <v>22</v>
      </c>
      <c r="X212" s="155">
        <v>0</v>
      </c>
      <c r="Y212" s="155">
        <f t="shared" si="168"/>
        <v>2</v>
      </c>
      <c r="Z212" s="155">
        <v>153</v>
      </c>
      <c r="AA212" s="155">
        <f t="shared" si="169"/>
        <v>53</v>
      </c>
      <c r="AB212" s="155">
        <v>604</v>
      </c>
      <c r="AC212" s="155">
        <f t="shared" si="170"/>
        <v>310</v>
      </c>
      <c r="AD212" s="155">
        <v>52</v>
      </c>
      <c r="AE212" s="155">
        <f t="shared" si="171"/>
        <v>0</v>
      </c>
      <c r="AF212" s="155">
        <v>162</v>
      </c>
      <c r="AG212" s="155">
        <f t="shared" si="172"/>
        <v>0</v>
      </c>
      <c r="AH212" s="155">
        <v>15</v>
      </c>
      <c r="AI212" s="155">
        <f t="shared" si="173"/>
        <v>515</v>
      </c>
      <c r="AJ212" s="155">
        <f>456+1</f>
        <v>457</v>
      </c>
      <c r="AK212" s="155">
        <f t="shared" si="167"/>
        <v>1</v>
      </c>
      <c r="AL212" s="155">
        <v>0</v>
      </c>
      <c r="AN212" s="173"/>
      <c r="AO212" s="173"/>
    </row>
    <row r="213" spans="2:41">
      <c r="B213" s="468"/>
      <c r="C213" s="34"/>
      <c r="D213" s="32" t="s">
        <v>622</v>
      </c>
      <c r="E213" s="350">
        <f t="shared" ref="E213:N213" si="179">SUM(E206:E212)</f>
        <v>108513</v>
      </c>
      <c r="F213" s="350">
        <f t="shared" si="179"/>
        <v>69926</v>
      </c>
      <c r="G213" s="350">
        <f t="shared" si="179"/>
        <v>74718</v>
      </c>
      <c r="H213" s="350">
        <f t="shared" si="179"/>
        <v>1925</v>
      </c>
      <c r="I213" s="350">
        <f t="shared" si="179"/>
        <v>699</v>
      </c>
      <c r="J213" s="350">
        <f t="shared" si="179"/>
        <v>983962</v>
      </c>
      <c r="K213" s="350">
        <f t="shared" si="179"/>
        <v>72499</v>
      </c>
      <c r="L213" s="350">
        <f t="shared" si="179"/>
        <v>193180</v>
      </c>
      <c r="M213" s="350">
        <f t="shared" si="179"/>
        <v>29058</v>
      </c>
      <c r="N213" s="350">
        <f t="shared" si="179"/>
        <v>29206</v>
      </c>
      <c r="O213" s="350">
        <f>SUM(O206:O212)</f>
        <v>31583</v>
      </c>
      <c r="P213" s="350">
        <f>SUM(P206:P212)</f>
        <v>29679</v>
      </c>
      <c r="R213" s="160">
        <v>71078</v>
      </c>
      <c r="S213" s="160">
        <f t="shared" si="174"/>
        <v>74718</v>
      </c>
      <c r="T213" s="160">
        <f t="shared" ref="T213:AJ213" si="180">SUM(T206:T212)</f>
        <v>39269</v>
      </c>
      <c r="U213" s="160">
        <f t="shared" si="175"/>
        <v>1925</v>
      </c>
      <c r="V213" s="160">
        <v>960</v>
      </c>
      <c r="W213" s="160">
        <f t="shared" si="176"/>
        <v>699</v>
      </c>
      <c r="X213" s="160">
        <v>3429</v>
      </c>
      <c r="Y213" s="160">
        <f t="shared" si="168"/>
        <v>983962</v>
      </c>
      <c r="Z213" s="160">
        <v>94604</v>
      </c>
      <c r="AA213" s="160">
        <f t="shared" si="169"/>
        <v>72499</v>
      </c>
      <c r="AB213" s="160">
        <f t="shared" si="180"/>
        <v>71548</v>
      </c>
      <c r="AC213" s="160">
        <f t="shared" si="170"/>
        <v>193180</v>
      </c>
      <c r="AD213" s="160">
        <f t="shared" si="180"/>
        <v>31998</v>
      </c>
      <c r="AE213" s="160">
        <f t="shared" si="171"/>
        <v>29058</v>
      </c>
      <c r="AF213" s="160">
        <f t="shared" si="180"/>
        <v>32860</v>
      </c>
      <c r="AG213" s="160">
        <f t="shared" si="172"/>
        <v>29206</v>
      </c>
      <c r="AH213" s="160">
        <v>29090</v>
      </c>
      <c r="AI213" s="160">
        <f t="shared" si="173"/>
        <v>31583</v>
      </c>
      <c r="AJ213" s="160">
        <f t="shared" si="180"/>
        <v>24008</v>
      </c>
      <c r="AK213" s="160">
        <f t="shared" si="167"/>
        <v>29679</v>
      </c>
      <c r="AL213" s="160">
        <v>25372</v>
      </c>
      <c r="AN213" s="173"/>
      <c r="AO213" s="173"/>
    </row>
    <row r="214" spans="2:41">
      <c r="B214" s="468"/>
      <c r="C214" s="34"/>
      <c r="D214" s="32" t="s">
        <v>15</v>
      </c>
      <c r="E214" s="350">
        <v>0</v>
      </c>
      <c r="F214" s="350">
        <v>0</v>
      </c>
      <c r="G214" s="350">
        <v>0</v>
      </c>
      <c r="H214" s="350">
        <v>0</v>
      </c>
      <c r="I214" s="350">
        <v>0</v>
      </c>
      <c r="J214" s="350">
        <v>0</v>
      </c>
      <c r="K214" s="350">
        <v>0</v>
      </c>
      <c r="L214" s="350">
        <v>0</v>
      </c>
      <c r="M214" s="350">
        <v>0</v>
      </c>
      <c r="N214" s="350">
        <v>0</v>
      </c>
      <c r="O214" s="350">
        <v>0</v>
      </c>
      <c r="P214" s="350">
        <v>0</v>
      </c>
      <c r="Q214" s="322"/>
      <c r="R214" s="350">
        <v>0</v>
      </c>
      <c r="S214" s="350">
        <v>0</v>
      </c>
      <c r="T214" s="350">
        <v>0</v>
      </c>
      <c r="U214" s="350">
        <v>0</v>
      </c>
      <c r="V214" s="350">
        <v>0</v>
      </c>
      <c r="W214" s="350">
        <v>0</v>
      </c>
      <c r="X214" s="350">
        <v>0</v>
      </c>
      <c r="Y214" s="350">
        <v>0</v>
      </c>
      <c r="Z214" s="350">
        <v>0</v>
      </c>
      <c r="AA214" s="350">
        <v>0</v>
      </c>
      <c r="AB214" s="350">
        <v>0</v>
      </c>
      <c r="AC214" s="350">
        <v>0</v>
      </c>
      <c r="AD214" s="350">
        <v>0</v>
      </c>
      <c r="AE214" s="350">
        <v>0</v>
      </c>
      <c r="AF214" s="350">
        <v>0</v>
      </c>
      <c r="AG214" s="350">
        <v>0</v>
      </c>
      <c r="AH214" s="350">
        <v>0</v>
      </c>
      <c r="AI214" s="350">
        <v>0</v>
      </c>
      <c r="AJ214" s="350">
        <v>0</v>
      </c>
      <c r="AK214" s="350">
        <f t="shared" si="167"/>
        <v>0</v>
      </c>
      <c r="AL214" s="350">
        <v>0</v>
      </c>
      <c r="AN214" s="173"/>
      <c r="AO214" s="173"/>
    </row>
    <row r="217" spans="2:41" s="2" customFormat="1" ht="15">
      <c r="B217" s="119"/>
      <c r="D217" s="6" t="s">
        <v>108</v>
      </c>
      <c r="E217" s="161"/>
      <c r="F217" s="161"/>
      <c r="G217" s="161"/>
      <c r="H217" s="161"/>
      <c r="I217" s="161"/>
      <c r="J217" s="161"/>
      <c r="K217" s="161"/>
      <c r="L217" s="161"/>
      <c r="M217" s="161"/>
      <c r="N217" s="161"/>
      <c r="O217" s="161"/>
      <c r="P217" s="161"/>
      <c r="Q217" s="408"/>
      <c r="R217" s="161"/>
      <c r="S217" s="161"/>
      <c r="T217" s="161"/>
      <c r="U217" s="161"/>
      <c r="V217" s="161"/>
      <c r="W217" s="161"/>
      <c r="X217" s="161"/>
      <c r="Y217" s="161"/>
      <c r="Z217" s="161"/>
      <c r="AA217" s="161"/>
      <c r="AB217" s="161"/>
      <c r="AC217" s="161"/>
      <c r="AD217" s="161"/>
      <c r="AE217" s="161"/>
      <c r="AF217" s="161"/>
      <c r="AG217" s="161"/>
      <c r="AH217" s="161"/>
      <c r="AI217" s="161"/>
      <c r="AJ217" s="161"/>
    </row>
    <row r="218" spans="2:41" s="2" customFormat="1" ht="15">
      <c r="B218" s="119"/>
      <c r="D218" s="8" t="s">
        <v>109</v>
      </c>
      <c r="E218" s="161"/>
      <c r="F218" s="161"/>
      <c r="G218" s="161"/>
      <c r="H218" s="161"/>
      <c r="I218" s="161"/>
      <c r="J218" s="161"/>
      <c r="K218" s="161"/>
      <c r="L218" s="161"/>
      <c r="M218" s="161"/>
      <c r="N218" s="161"/>
      <c r="O218" s="161"/>
      <c r="P218" s="161"/>
      <c r="Q218" s="408"/>
      <c r="R218" s="161"/>
      <c r="S218" s="161"/>
      <c r="T218" s="161"/>
      <c r="U218" s="161"/>
      <c r="V218" s="161"/>
      <c r="W218" s="161"/>
      <c r="X218" s="161"/>
      <c r="Y218" s="161"/>
      <c r="Z218" s="161"/>
      <c r="AA218" s="161"/>
      <c r="AB218" s="161"/>
      <c r="AC218" s="161"/>
      <c r="AD218" s="161"/>
      <c r="AE218" s="161"/>
      <c r="AF218" s="161"/>
      <c r="AG218" s="161"/>
      <c r="AH218" s="161"/>
      <c r="AI218" s="161"/>
      <c r="AJ218" s="161"/>
    </row>
    <row r="220" spans="2:41" ht="14.25">
      <c r="D220" s="396" t="s">
        <v>734</v>
      </c>
    </row>
    <row r="221" spans="2:41" ht="14.25" customHeight="1">
      <c r="D221" s="450" t="s">
        <v>749</v>
      </c>
      <c r="E221" s="443"/>
      <c r="F221" s="443"/>
      <c r="G221" s="443"/>
      <c r="H221" s="443"/>
      <c r="I221" s="443"/>
      <c r="J221" s="443"/>
      <c r="K221" s="443"/>
      <c r="L221" s="443"/>
      <c r="M221" s="443"/>
      <c r="N221" s="443"/>
      <c r="O221" s="443"/>
      <c r="P221" s="443"/>
      <c r="Q221" s="443"/>
      <c r="R221" s="443"/>
      <c r="S221" s="443"/>
      <c r="T221" s="443"/>
      <c r="U221" s="443"/>
      <c r="V221" s="443"/>
      <c r="W221" s="443"/>
      <c r="X221" s="443"/>
      <c r="Y221" s="443"/>
      <c r="Z221" s="443"/>
      <c r="AA221" s="443"/>
      <c r="AB221" s="443"/>
      <c r="AC221" s="443"/>
      <c r="AD221" s="443"/>
      <c r="AE221" s="443"/>
      <c r="AF221" s="443"/>
      <c r="AG221" s="443"/>
      <c r="AH221" s="443"/>
      <c r="AI221" s="443"/>
      <c r="AJ221" s="443"/>
      <c r="AK221" s="443"/>
      <c r="AL221" s="443"/>
      <c r="AM221" s="443"/>
      <c r="AN221" s="443"/>
      <c r="AO221" s="443"/>
    </row>
    <row r="222" spans="2:41">
      <c r="D222" s="11"/>
    </row>
  </sheetData>
  <mergeCells count="5">
    <mergeCell ref="B92:B128"/>
    <mergeCell ref="B132:B171"/>
    <mergeCell ref="B174:B214"/>
    <mergeCell ref="B7:B46"/>
    <mergeCell ref="B49:B88"/>
  </mergeCells>
  <dataValidations disablePrompts="1" count="1">
    <dataValidation allowBlank="1" showErrorMessage="1" sqref="D198 D155 D72 D30" xr:uid="{00000000-0002-0000-0400-000000000000}">
      <formula1>0</formula1>
      <formula2>0</formula2>
    </dataValidation>
  </dataValidations>
  <hyperlinks>
    <hyperlink ref="D218" r:id="rId1" xr:uid="{00000000-0004-0000-04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07F83"/>
    <pageSetUpPr fitToPage="1"/>
  </sheetPr>
  <dimension ref="B1:AR95"/>
  <sheetViews>
    <sheetView zoomScale="80" zoomScaleNormal="80" workbookViewId="0">
      <pane xSplit="4" ySplit="4" topLeftCell="E5" activePane="bottomRight" state="frozen"/>
      <selection pane="topRight" activeCell="E1" sqref="E1"/>
      <selection pane="bottomLeft" activeCell="A5" sqref="A5"/>
      <selection pane="bottomRight" activeCell="AQ11" sqref="AQ11"/>
    </sheetView>
  </sheetViews>
  <sheetFormatPr defaultColWidth="9.140625" defaultRowHeight="12"/>
  <cols>
    <col min="1" max="1" width="1.85546875" style="6" customWidth="1"/>
    <col min="2" max="2" width="6.140625" style="6" customWidth="1"/>
    <col min="3" max="3" width="1.28515625" style="6" customWidth="1"/>
    <col min="4" max="4" width="35.28515625" style="6" customWidth="1"/>
    <col min="5" max="16" width="6" style="6" bestFit="1" customWidth="1"/>
    <col min="17" max="17" width="2.85546875" style="6" customWidth="1"/>
    <col min="18" max="42" width="6.28515625" style="6" bestFit="1" customWidth="1"/>
    <col min="43" max="16384" width="9.140625" style="6"/>
  </cols>
  <sheetData>
    <row r="1" spans="2:43">
      <c r="C1" s="9"/>
    </row>
    <row r="2" spans="2:43">
      <c r="C2" s="9"/>
      <c r="D2" s="7" t="s">
        <v>695</v>
      </c>
      <c r="E2" s="7"/>
      <c r="F2" s="7"/>
      <c r="G2" s="7"/>
      <c r="H2" s="7"/>
      <c r="I2" s="7"/>
    </row>
    <row r="3" spans="2:43" s="4" customFormat="1">
      <c r="C3" s="9"/>
      <c r="D3" s="1"/>
      <c r="E3" s="11"/>
      <c r="F3" s="11"/>
      <c r="G3" s="6"/>
      <c r="H3" s="6"/>
      <c r="I3" s="1"/>
      <c r="J3" s="11"/>
      <c r="K3" s="11"/>
      <c r="L3" s="11"/>
      <c r="M3" s="11"/>
      <c r="N3" s="11"/>
      <c r="O3" s="6"/>
      <c r="P3" s="11"/>
      <c r="Q3" s="15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2:43" s="4" customFormat="1">
      <c r="C4" s="9"/>
      <c r="D4" s="18"/>
      <c r="E4" s="224">
        <v>39813</v>
      </c>
      <c r="F4" s="224">
        <v>40178</v>
      </c>
      <c r="G4" s="224">
        <v>40543</v>
      </c>
      <c r="H4" s="224">
        <v>40908</v>
      </c>
      <c r="I4" s="224">
        <v>41274</v>
      </c>
      <c r="J4" s="224">
        <v>41639</v>
      </c>
      <c r="K4" s="224">
        <v>42004</v>
      </c>
      <c r="L4" s="224">
        <v>42369</v>
      </c>
      <c r="M4" s="224">
        <v>42735</v>
      </c>
      <c r="N4" s="224">
        <v>43100</v>
      </c>
      <c r="O4" s="440">
        <v>43465</v>
      </c>
      <c r="P4" s="224">
        <v>43830</v>
      </c>
      <c r="Q4" s="5"/>
      <c r="R4" s="18" t="s">
        <v>352</v>
      </c>
      <c r="S4" s="18" t="s">
        <v>351</v>
      </c>
      <c r="T4" s="18" t="s">
        <v>349</v>
      </c>
      <c r="U4" s="18" t="s">
        <v>350</v>
      </c>
      <c r="V4" s="18" t="s">
        <v>347</v>
      </c>
      <c r="W4" s="18" t="s">
        <v>348</v>
      </c>
      <c r="X4" s="18" t="s">
        <v>345</v>
      </c>
      <c r="Y4" s="18" t="s">
        <v>346</v>
      </c>
      <c r="Z4" s="18" t="s">
        <v>343</v>
      </c>
      <c r="AA4" s="18" t="s">
        <v>344</v>
      </c>
      <c r="AB4" s="18" t="s">
        <v>95</v>
      </c>
      <c r="AC4" s="18" t="s">
        <v>96</v>
      </c>
      <c r="AD4" s="18" t="s">
        <v>97</v>
      </c>
      <c r="AE4" s="18" t="s">
        <v>98</v>
      </c>
      <c r="AF4" s="18" t="s">
        <v>99</v>
      </c>
      <c r="AG4" s="18" t="s">
        <v>100</v>
      </c>
      <c r="AH4" s="18" t="s">
        <v>101</v>
      </c>
      <c r="AI4" s="18" t="s">
        <v>102</v>
      </c>
      <c r="AJ4" s="18" t="s">
        <v>103</v>
      </c>
      <c r="AK4" s="18" t="s">
        <v>105</v>
      </c>
      <c r="AL4" s="18" t="s">
        <v>106</v>
      </c>
      <c r="AM4" s="18" t="s">
        <v>104</v>
      </c>
      <c r="AN4" s="18" t="s">
        <v>653</v>
      </c>
      <c r="AO4" s="18" t="s">
        <v>758</v>
      </c>
      <c r="AP4" s="18" t="s">
        <v>795</v>
      </c>
    </row>
    <row r="5" spans="2:43" ht="12" customHeight="1">
      <c r="B5" s="469" t="s">
        <v>175</v>
      </c>
      <c r="C5" s="9"/>
      <c r="D5" s="41" t="s">
        <v>633</v>
      </c>
      <c r="E5" s="91">
        <v>1987.136</v>
      </c>
      <c r="F5" s="91">
        <v>1341.9559999999999</v>
      </c>
      <c r="G5" s="91">
        <v>1929.982</v>
      </c>
      <c r="H5" s="91">
        <v>2366.366</v>
      </c>
      <c r="I5" s="91">
        <v>2524.5920000000001</v>
      </c>
      <c r="J5" s="91">
        <v>2513.7820000000002</v>
      </c>
      <c r="K5" s="91">
        <v>2375.4879999999998</v>
      </c>
      <c r="L5" s="91">
        <v>1715.1410000000001</v>
      </c>
      <c r="M5" s="91">
        <v>1745.182</v>
      </c>
      <c r="N5" s="91">
        <v>1914.6690000000001</v>
      </c>
      <c r="O5" s="91">
        <v>2130.9569999999999</v>
      </c>
      <c r="P5" s="91">
        <v>2220.973</v>
      </c>
      <c r="Q5" s="91"/>
      <c r="R5" s="91">
        <v>969.71600000000001</v>
      </c>
      <c r="S5" s="91">
        <v>1017.42</v>
      </c>
      <c r="T5" s="91">
        <v>597.76900000000001</v>
      </c>
      <c r="U5" s="91">
        <v>744.1869999999999</v>
      </c>
      <c r="V5" s="91">
        <v>879.55700000000002</v>
      </c>
      <c r="W5" s="91">
        <f t="shared" ref="W5:W10" si="0">G5-V5</f>
        <v>1050.425</v>
      </c>
      <c r="X5" s="91">
        <v>1194.9100000000001</v>
      </c>
      <c r="Y5" s="91">
        <v>1171.4559999999999</v>
      </c>
      <c r="Z5" s="91">
        <v>1211.623</v>
      </c>
      <c r="AA5" s="91">
        <v>1312.9690000000001</v>
      </c>
      <c r="AB5" s="91">
        <v>1269.9949999999999</v>
      </c>
      <c r="AC5" s="91">
        <v>1243.7870000000003</v>
      </c>
      <c r="AD5" s="91">
        <v>1204.8879999999999</v>
      </c>
      <c r="AE5" s="91">
        <v>1170.5999999999999</v>
      </c>
      <c r="AF5" s="91">
        <v>861.82799999999997</v>
      </c>
      <c r="AG5" s="91">
        <v>853.3130000000001</v>
      </c>
      <c r="AH5" s="91">
        <v>884.46900000000005</v>
      </c>
      <c r="AI5" s="91">
        <v>860.71299999999997</v>
      </c>
      <c r="AJ5" s="91">
        <v>949.005</v>
      </c>
      <c r="AK5" s="91">
        <v>965.6640000000001</v>
      </c>
      <c r="AL5" s="91">
        <v>1085.0999999999999</v>
      </c>
      <c r="AM5" s="91">
        <v>1045.857</v>
      </c>
      <c r="AN5" s="91">
        <v>1147.0809999999999</v>
      </c>
      <c r="AO5" s="91">
        <f>P5-AN5</f>
        <v>1073.8920000000001</v>
      </c>
      <c r="AP5" s="91">
        <v>1071.7159999999999</v>
      </c>
    </row>
    <row r="6" spans="2:43">
      <c r="B6" s="469"/>
      <c r="C6" s="9"/>
      <c r="D6" s="36" t="s">
        <v>170</v>
      </c>
      <c r="E6" s="137">
        <v>1987.136</v>
      </c>
      <c r="F6" s="218">
        <v>1341.9559999999999</v>
      </c>
      <c r="G6" s="218">
        <v>1929.982</v>
      </c>
      <c r="H6" s="218">
        <v>2366.393</v>
      </c>
      <c r="I6" s="218">
        <v>2536.1759999999999</v>
      </c>
      <c r="J6" s="218">
        <v>2577.7449999999999</v>
      </c>
      <c r="K6" s="218">
        <v>2482.2449999999999</v>
      </c>
      <c r="L6" s="218">
        <v>1805.047</v>
      </c>
      <c r="M6" s="218">
        <v>1829.116</v>
      </c>
      <c r="N6" s="218">
        <v>1989.931</v>
      </c>
      <c r="O6" s="218">
        <v>2200.0880000000002</v>
      </c>
      <c r="P6" s="218">
        <v>2283.3200000000002</v>
      </c>
      <c r="R6" s="218">
        <v>969.71600000000001</v>
      </c>
      <c r="S6" s="218">
        <v>1017.42</v>
      </c>
      <c r="T6" s="218">
        <v>597.76900000000001</v>
      </c>
      <c r="U6" s="218">
        <v>744.1869999999999</v>
      </c>
      <c r="V6" s="218">
        <v>879.55700000000002</v>
      </c>
      <c r="W6" s="218">
        <f t="shared" si="0"/>
        <v>1050.425</v>
      </c>
      <c r="X6" s="218">
        <v>1194.9100000000001</v>
      </c>
      <c r="Y6" s="218">
        <v>1171.4829999999999</v>
      </c>
      <c r="Z6" s="218">
        <v>1213.9280000000001</v>
      </c>
      <c r="AA6" s="218">
        <v>1322.2479999999998</v>
      </c>
      <c r="AB6" s="218">
        <v>1290.7719999999999</v>
      </c>
      <c r="AC6" s="218">
        <v>1286.973</v>
      </c>
      <c r="AD6" s="218">
        <v>1256.0229999999999</v>
      </c>
      <c r="AE6" s="218">
        <v>1226.222</v>
      </c>
      <c r="AF6" s="218">
        <v>900.51800000000003</v>
      </c>
      <c r="AG6" s="218">
        <v>904.529</v>
      </c>
      <c r="AH6" s="218">
        <v>921.33799999999997</v>
      </c>
      <c r="AI6" s="218">
        <v>907.77800000000002</v>
      </c>
      <c r="AJ6" s="218">
        <v>984.30499999999995</v>
      </c>
      <c r="AK6" s="218">
        <v>1005.6260000000001</v>
      </c>
      <c r="AL6" s="218">
        <v>1123.8969999999999</v>
      </c>
      <c r="AM6" s="218">
        <v>1076.191</v>
      </c>
      <c r="AN6" s="218">
        <v>1176.3879999999999</v>
      </c>
      <c r="AO6" s="218">
        <f t="shared" ref="AO6:AO11" si="1">P6-AN6</f>
        <v>1106.9320000000002</v>
      </c>
      <c r="AP6" s="218">
        <v>1098.6610000000001</v>
      </c>
    </row>
    <row r="7" spans="2:43">
      <c r="B7" s="469"/>
      <c r="D7" s="141" t="s">
        <v>171</v>
      </c>
      <c r="E7" s="406">
        <v>2209.136</v>
      </c>
      <c r="F7" s="133">
        <v>1436.1079999999999</v>
      </c>
      <c r="G7" s="133">
        <v>2160.3130000000001</v>
      </c>
      <c r="H7" s="133">
        <v>2684.1779999999999</v>
      </c>
      <c r="I7" s="133">
        <v>2907.0810000000001</v>
      </c>
      <c r="J7" s="133">
        <v>2900.3809999999999</v>
      </c>
      <c r="K7" s="133">
        <v>2807.4340000000002</v>
      </c>
      <c r="L7" s="133">
        <v>1984.425</v>
      </c>
      <c r="M7" s="133">
        <v>2014.5719999999999</v>
      </c>
      <c r="N7" s="133">
        <v>2229.866</v>
      </c>
      <c r="O7" s="133">
        <v>2476.5169999999998</v>
      </c>
      <c r="P7" s="133">
        <v>2603.6040000000003</v>
      </c>
      <c r="R7" s="133">
        <v>1090.114</v>
      </c>
      <c r="S7" s="133">
        <v>1119.0219999999999</v>
      </c>
      <c r="T7" s="133">
        <v>636.01099999999997</v>
      </c>
      <c r="U7" s="133">
        <v>800.09699999999998</v>
      </c>
      <c r="V7" s="133">
        <v>966.45299999999997</v>
      </c>
      <c r="W7" s="133">
        <f t="shared" si="0"/>
        <v>1193.8600000000001</v>
      </c>
      <c r="X7" s="133">
        <v>1357.97</v>
      </c>
      <c r="Y7" s="133">
        <v>1326.2079999999999</v>
      </c>
      <c r="Z7" s="133">
        <v>1393.856</v>
      </c>
      <c r="AA7" s="133">
        <v>1513.2250000000001</v>
      </c>
      <c r="AB7" s="133">
        <v>1444.239</v>
      </c>
      <c r="AC7" s="133">
        <v>1456.1419999999998</v>
      </c>
      <c r="AD7" s="133">
        <v>1435.828</v>
      </c>
      <c r="AE7" s="133">
        <v>1371.6060000000002</v>
      </c>
      <c r="AF7" s="133">
        <v>974.07899999999995</v>
      </c>
      <c r="AG7" s="133">
        <v>1010.346</v>
      </c>
      <c r="AH7" s="133">
        <v>1006.4930000000001</v>
      </c>
      <c r="AI7" s="133">
        <v>1008.0789999999998</v>
      </c>
      <c r="AJ7" s="133">
        <v>1103.8599999999999</v>
      </c>
      <c r="AK7" s="133">
        <v>1126.0060000000001</v>
      </c>
      <c r="AL7" s="133">
        <v>1247.546</v>
      </c>
      <c r="AM7" s="133">
        <v>1228.971</v>
      </c>
      <c r="AN7" s="133">
        <v>1340.3689999999999</v>
      </c>
      <c r="AO7" s="133">
        <f t="shared" si="1"/>
        <v>1263.2350000000004</v>
      </c>
      <c r="AP7" s="133">
        <v>1217.3710000000001</v>
      </c>
    </row>
    <row r="8" spans="2:43">
      <c r="B8" s="469"/>
      <c r="D8" s="36" t="s">
        <v>172</v>
      </c>
      <c r="E8" s="91">
        <v>99.304999999999836</v>
      </c>
      <c r="F8" s="91">
        <v>107</v>
      </c>
      <c r="G8" s="91">
        <v>109.384</v>
      </c>
      <c r="H8" s="91">
        <v>140.92500000000001</v>
      </c>
      <c r="I8" s="91">
        <v>147.178</v>
      </c>
      <c r="J8" s="91">
        <v>131.291</v>
      </c>
      <c r="K8" s="91">
        <v>117.271</v>
      </c>
      <c r="L8" s="91">
        <v>138.51400000000001</v>
      </c>
      <c r="M8" s="91">
        <v>153.01900000000001</v>
      </c>
      <c r="N8" s="91">
        <v>150.47999999999999</v>
      </c>
      <c r="O8" s="91">
        <v>160.30000000000001</v>
      </c>
      <c r="P8" s="91">
        <v>158.46299999999999</v>
      </c>
      <c r="R8" s="91">
        <v>36.529000000000003</v>
      </c>
      <c r="S8" s="91">
        <v>62.775999999999833</v>
      </c>
      <c r="T8" s="91">
        <v>51.042999999999999</v>
      </c>
      <c r="U8" s="91">
        <v>55.957000000000001</v>
      </c>
      <c r="V8" s="91">
        <v>48.048000000000002</v>
      </c>
      <c r="W8" s="91">
        <f t="shared" si="0"/>
        <v>61.335999999999999</v>
      </c>
      <c r="X8" s="91">
        <v>55</v>
      </c>
      <c r="Y8" s="91">
        <v>85.925000000000011</v>
      </c>
      <c r="Z8" s="91">
        <v>65.781000000000006</v>
      </c>
      <c r="AA8" s="91">
        <v>81.396999999999991</v>
      </c>
      <c r="AB8" s="91">
        <v>60.933999999999997</v>
      </c>
      <c r="AC8" s="91">
        <v>70.356999999999999</v>
      </c>
      <c r="AD8" s="91">
        <v>52.987000000000002</v>
      </c>
      <c r="AE8" s="91">
        <v>64.283999999999992</v>
      </c>
      <c r="AF8" s="91">
        <v>63.515000000000001</v>
      </c>
      <c r="AG8" s="91">
        <v>74.999000000000009</v>
      </c>
      <c r="AH8" s="91">
        <v>65.183000000000007</v>
      </c>
      <c r="AI8" s="91">
        <v>87.835999999999999</v>
      </c>
      <c r="AJ8" s="91">
        <v>66.677000000000007</v>
      </c>
      <c r="AK8" s="91">
        <v>83.802999999999983</v>
      </c>
      <c r="AL8" s="91">
        <v>69.165999999999997</v>
      </c>
      <c r="AM8" s="91">
        <v>91.134</v>
      </c>
      <c r="AN8" s="91">
        <v>71.221000000000004</v>
      </c>
      <c r="AO8" s="91">
        <f t="shared" si="1"/>
        <v>87.24199999999999</v>
      </c>
      <c r="AP8" s="91">
        <v>72.528999999999996</v>
      </c>
    </row>
    <row r="9" spans="2:43">
      <c r="B9" s="469"/>
      <c r="D9" s="36" t="s">
        <v>173</v>
      </c>
      <c r="E9" s="91">
        <v>493.23099999999999</v>
      </c>
      <c r="F9" s="91">
        <v>334.87700000000001</v>
      </c>
      <c r="G9" s="91">
        <v>456.17899999999997</v>
      </c>
      <c r="H9" s="91">
        <v>675.39099999999996</v>
      </c>
      <c r="I9" s="91">
        <v>689.29100000000005</v>
      </c>
      <c r="J9" s="91">
        <v>751.923</v>
      </c>
      <c r="K9" s="91">
        <v>750.08500000000004</v>
      </c>
      <c r="L9" s="91">
        <v>606.75199999999995</v>
      </c>
      <c r="M9" s="91">
        <v>630.84100000000001</v>
      </c>
      <c r="N9" s="91">
        <v>754.87400000000002</v>
      </c>
      <c r="O9" s="91">
        <v>771.49900000000002</v>
      </c>
      <c r="P9" s="91">
        <v>782.36199999999997</v>
      </c>
      <c r="R9" s="91">
        <v>254.58</v>
      </c>
      <c r="S9" s="91">
        <v>238.65099999999998</v>
      </c>
      <c r="T9" s="91">
        <v>165.09700000000001</v>
      </c>
      <c r="U9" s="91">
        <v>169.78</v>
      </c>
      <c r="V9" s="91">
        <v>218.87200000000001</v>
      </c>
      <c r="W9" s="91">
        <f t="shared" si="0"/>
        <v>237.30699999999996</v>
      </c>
      <c r="X9" s="91">
        <v>349.50599999999997</v>
      </c>
      <c r="Y9" s="91">
        <v>325.88499999999999</v>
      </c>
      <c r="Z9" s="91">
        <v>358.29500000000002</v>
      </c>
      <c r="AA9" s="91">
        <v>330.99600000000004</v>
      </c>
      <c r="AB9" s="91">
        <v>403.94499999999999</v>
      </c>
      <c r="AC9" s="91">
        <v>347.97800000000001</v>
      </c>
      <c r="AD9" s="91">
        <v>406.58300000000003</v>
      </c>
      <c r="AE9" s="91">
        <v>343.50200000000001</v>
      </c>
      <c r="AF9" s="91">
        <v>334.02499999999998</v>
      </c>
      <c r="AG9" s="91">
        <v>272.72699999999998</v>
      </c>
      <c r="AH9" s="91">
        <v>344.18299999999999</v>
      </c>
      <c r="AI9" s="91">
        <v>286.65800000000002</v>
      </c>
      <c r="AJ9" s="91">
        <v>403.74299999999999</v>
      </c>
      <c r="AK9" s="91">
        <v>351.13100000000003</v>
      </c>
      <c r="AL9" s="91">
        <v>430.97300000000001</v>
      </c>
      <c r="AM9" s="91">
        <v>340.52600000000001</v>
      </c>
      <c r="AN9" s="91">
        <v>404.572</v>
      </c>
      <c r="AO9" s="91">
        <f t="shared" si="1"/>
        <v>377.78999999999996</v>
      </c>
      <c r="AP9" s="91">
        <v>416.29599999999999</v>
      </c>
    </row>
    <row r="10" spans="2:43">
      <c r="B10" s="469"/>
      <c r="D10" s="41" t="s">
        <v>174</v>
      </c>
      <c r="E10" s="91">
        <v>877.43050000000005</v>
      </c>
      <c r="F10" s="91">
        <v>542.25199999999995</v>
      </c>
      <c r="G10" s="91">
        <v>770.23450000000003</v>
      </c>
      <c r="H10" s="91">
        <v>1007.55</v>
      </c>
      <c r="I10" s="91">
        <v>1176.191</v>
      </c>
      <c r="J10" s="91">
        <v>1396.5250000000001</v>
      </c>
      <c r="K10" s="91">
        <v>1435.702</v>
      </c>
      <c r="L10" s="91">
        <v>1053.8879999999999</v>
      </c>
      <c r="M10" s="91">
        <v>1020.357</v>
      </c>
      <c r="N10" s="91">
        <v>1293.905</v>
      </c>
      <c r="O10" s="91">
        <v>1463.6865</v>
      </c>
      <c r="P10" s="91">
        <v>1546.8869999999999</v>
      </c>
      <c r="R10" s="91">
        <v>427.61849999999998</v>
      </c>
      <c r="S10" s="91">
        <v>449.81200000000007</v>
      </c>
      <c r="T10" s="91">
        <v>243.51900000000001</v>
      </c>
      <c r="U10" s="91">
        <v>298.73299999999995</v>
      </c>
      <c r="V10" s="91">
        <v>333.6155</v>
      </c>
      <c r="W10" s="91">
        <f t="shared" si="0"/>
        <v>436.61900000000003</v>
      </c>
      <c r="X10" s="91">
        <v>458.13749999999999</v>
      </c>
      <c r="Y10" s="91">
        <v>549.41249999999991</v>
      </c>
      <c r="Z10" s="91">
        <v>558.36450000000002</v>
      </c>
      <c r="AA10" s="91">
        <v>617.82650000000001</v>
      </c>
      <c r="AB10" s="91">
        <v>644.65700000000004</v>
      </c>
      <c r="AC10" s="91">
        <v>751.86800000000005</v>
      </c>
      <c r="AD10" s="91">
        <v>699.52949999999998</v>
      </c>
      <c r="AE10" s="91">
        <v>736.17250000000001</v>
      </c>
      <c r="AF10" s="91">
        <v>538.4085</v>
      </c>
      <c r="AG10" s="91">
        <v>515.47949999999992</v>
      </c>
      <c r="AH10" s="91">
        <v>459.05549999999999</v>
      </c>
      <c r="AI10" s="91">
        <v>561.30150000000003</v>
      </c>
      <c r="AJ10" s="91">
        <v>596.46550000000002</v>
      </c>
      <c r="AK10" s="91">
        <v>697.43949999999995</v>
      </c>
      <c r="AL10" s="91">
        <v>680.04250000000002</v>
      </c>
      <c r="AM10" s="91">
        <v>783.64400000000001</v>
      </c>
      <c r="AN10" s="91">
        <v>726.82</v>
      </c>
      <c r="AO10" s="91">
        <f t="shared" si="1"/>
        <v>820.06699999999989</v>
      </c>
      <c r="AP10" s="91">
        <v>774.61800000000005</v>
      </c>
    </row>
    <row r="11" spans="2:43">
      <c r="B11" s="469"/>
      <c r="D11" s="116" t="s">
        <v>175</v>
      </c>
      <c r="E11" s="142">
        <f t="shared" ref="E11:N11" si="2">SUM(E7:E10)</f>
        <v>3679.1024999999995</v>
      </c>
      <c r="F11" s="142">
        <f t="shared" si="2"/>
        <v>2420.2370000000001</v>
      </c>
      <c r="G11" s="142">
        <f>SUM(G7:G10)</f>
        <v>3496.1105000000002</v>
      </c>
      <c r="H11" s="142">
        <f t="shared" si="2"/>
        <v>4508.0439999999999</v>
      </c>
      <c r="I11" s="142">
        <f t="shared" si="2"/>
        <v>4919.741</v>
      </c>
      <c r="J11" s="142">
        <f t="shared" si="2"/>
        <v>5180.1200000000008</v>
      </c>
      <c r="K11" s="142">
        <f t="shared" si="2"/>
        <v>5110.4920000000002</v>
      </c>
      <c r="L11" s="142">
        <f t="shared" si="2"/>
        <v>3783.5789999999997</v>
      </c>
      <c r="M11" s="142">
        <f t="shared" si="2"/>
        <v>3818.7889999999998</v>
      </c>
      <c r="N11" s="142">
        <f t="shared" si="2"/>
        <v>4429.125</v>
      </c>
      <c r="O11" s="142">
        <v>4872.0024999999996</v>
      </c>
      <c r="P11" s="142">
        <v>5091.3159999999998</v>
      </c>
      <c r="R11" s="142">
        <f t="shared" ref="R11:AN11" si="3">SUM(R7:R10)</f>
        <v>1808.8415</v>
      </c>
      <c r="S11" s="142">
        <f t="shared" si="3"/>
        <v>1870.261</v>
      </c>
      <c r="T11" s="142">
        <f t="shared" si="3"/>
        <v>1095.67</v>
      </c>
      <c r="U11" s="142">
        <f t="shared" si="3"/>
        <v>1324.567</v>
      </c>
      <c r="V11" s="142">
        <f t="shared" si="3"/>
        <v>1566.9884999999999</v>
      </c>
      <c r="W11" s="142">
        <f t="shared" si="3"/>
        <v>1929.1220000000003</v>
      </c>
      <c r="X11" s="142">
        <f t="shared" si="3"/>
        <v>2220.6134999999999</v>
      </c>
      <c r="Y11" s="142">
        <f t="shared" si="3"/>
        <v>2287.4304999999995</v>
      </c>
      <c r="Z11" s="142">
        <f t="shared" si="3"/>
        <v>2376.2964999999999</v>
      </c>
      <c r="AA11" s="142">
        <f t="shared" si="3"/>
        <v>2543.4445000000001</v>
      </c>
      <c r="AB11" s="142">
        <f t="shared" si="3"/>
        <v>2553.7750000000001</v>
      </c>
      <c r="AC11" s="142">
        <f t="shared" si="3"/>
        <v>2626.3449999999998</v>
      </c>
      <c r="AD11" s="142">
        <f t="shared" si="3"/>
        <v>2594.9275000000002</v>
      </c>
      <c r="AE11" s="142">
        <f t="shared" si="3"/>
        <v>2515.5645000000004</v>
      </c>
      <c r="AF11" s="142">
        <f t="shared" si="3"/>
        <v>1910.0275000000001</v>
      </c>
      <c r="AG11" s="142">
        <f t="shared" si="3"/>
        <v>1873.5515</v>
      </c>
      <c r="AH11" s="142">
        <f t="shared" si="3"/>
        <v>1874.9145000000001</v>
      </c>
      <c r="AI11" s="142">
        <f t="shared" si="3"/>
        <v>1943.8744999999999</v>
      </c>
      <c r="AJ11" s="142">
        <f t="shared" si="3"/>
        <v>2170.7455</v>
      </c>
      <c r="AK11" s="142">
        <f t="shared" si="3"/>
        <v>2258.3795</v>
      </c>
      <c r="AL11" s="142">
        <f t="shared" si="3"/>
        <v>2427.7275</v>
      </c>
      <c r="AM11" s="142">
        <f t="shared" si="3"/>
        <v>2444.2750000000001</v>
      </c>
      <c r="AN11" s="142">
        <f t="shared" si="3"/>
        <v>2542.982</v>
      </c>
      <c r="AO11" s="142">
        <f t="shared" si="1"/>
        <v>2548.3339999999998</v>
      </c>
      <c r="AP11" s="142">
        <v>2480.8139999999999</v>
      </c>
      <c r="AQ11" s="83"/>
    </row>
    <row r="12" spans="2:43" ht="12" customHeight="1">
      <c r="B12" s="469"/>
      <c r="D12" s="35"/>
      <c r="E12" s="133"/>
      <c r="F12" s="133"/>
      <c r="G12" s="133"/>
      <c r="H12" s="133"/>
      <c r="I12" s="133"/>
      <c r="J12" s="133"/>
      <c r="K12" s="133"/>
      <c r="L12" s="133"/>
      <c r="M12" s="133"/>
      <c r="N12" s="133"/>
      <c r="O12" s="133"/>
      <c r="P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row>
    <row r="13" spans="2:43">
      <c r="B13" s="469"/>
      <c r="D13" s="116" t="s">
        <v>202</v>
      </c>
      <c r="E13" s="138"/>
      <c r="F13" s="138"/>
      <c r="G13" s="138"/>
      <c r="H13" s="138"/>
      <c r="I13" s="138"/>
      <c r="J13" s="138"/>
      <c r="K13" s="138"/>
      <c r="L13" s="138"/>
      <c r="M13" s="138"/>
      <c r="N13" s="138"/>
      <c r="O13" s="138"/>
      <c r="P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row>
    <row r="14" spans="2:43">
      <c r="B14" s="469"/>
      <c r="D14" s="36"/>
      <c r="E14" s="91"/>
      <c r="F14" s="91"/>
      <c r="G14" s="91"/>
      <c r="H14" s="91"/>
      <c r="I14" s="91"/>
      <c r="J14" s="91"/>
      <c r="K14" s="91"/>
      <c r="L14" s="91"/>
      <c r="M14" s="91"/>
      <c r="N14" s="91"/>
      <c r="O14" s="91"/>
      <c r="P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2:43">
      <c r="B15" s="469"/>
      <c r="D15" s="36" t="s">
        <v>171</v>
      </c>
      <c r="E15" s="89">
        <f t="shared" ref="E15:O18" si="4">E7/$O$11</f>
        <v>0.45343490689916521</v>
      </c>
      <c r="F15" s="89">
        <f t="shared" si="4"/>
        <v>0.29476750063244017</v>
      </c>
      <c r="G15" s="89">
        <f t="shared" si="4"/>
        <v>0.4434137708262671</v>
      </c>
      <c r="H15" s="89">
        <f t="shared" si="4"/>
        <v>0.55093937246542879</v>
      </c>
      <c r="I15" s="89">
        <f t="shared" si="4"/>
        <v>0.59669119627914813</v>
      </c>
      <c r="J15" s="89">
        <f t="shared" si="4"/>
        <v>0.59531599173029981</v>
      </c>
      <c r="K15" s="89">
        <f t="shared" si="4"/>
        <v>0.57623821005838982</v>
      </c>
      <c r="L15" s="89">
        <f t="shared" si="4"/>
        <v>0.40731198311166716</v>
      </c>
      <c r="M15" s="89">
        <f t="shared" si="4"/>
        <v>0.41349978781825336</v>
      </c>
      <c r="N15" s="89">
        <f t="shared" si="4"/>
        <v>0.45768983082418374</v>
      </c>
      <c r="O15" s="89">
        <f t="shared" si="4"/>
        <v>0.50831603637313405</v>
      </c>
      <c r="P15" s="89">
        <v>0.51138134030572846</v>
      </c>
      <c r="R15" s="89">
        <f t="shared" ref="R15:AM18" si="5">R7/R$11</f>
        <v>0.60265866301718529</v>
      </c>
      <c r="S15" s="89">
        <f t="shared" si="5"/>
        <v>0.59832397724167907</v>
      </c>
      <c r="T15" s="89">
        <f t="shared" si="5"/>
        <v>0.58047678589356277</v>
      </c>
      <c r="U15" s="89">
        <f t="shared" si="5"/>
        <v>0.60404418953514616</v>
      </c>
      <c r="V15" s="89">
        <f t="shared" si="5"/>
        <v>0.61675819573659918</v>
      </c>
      <c r="W15" s="89">
        <f t="shared" si="5"/>
        <v>0.61886184492219776</v>
      </c>
      <c r="X15" s="89">
        <f t="shared" si="5"/>
        <v>0.61152920127703447</v>
      </c>
      <c r="Y15" s="89">
        <f t="shared" si="5"/>
        <v>0.57978067530357758</v>
      </c>
      <c r="Z15" s="89">
        <f t="shared" si="5"/>
        <v>0.5865665332587916</v>
      </c>
      <c r="AA15" s="89">
        <f t="shared" si="5"/>
        <v>0.59495105947859295</v>
      </c>
      <c r="AB15" s="89">
        <f t="shared" si="5"/>
        <v>0.56553102759640139</v>
      </c>
      <c r="AC15" s="89">
        <f t="shared" si="5"/>
        <v>0.55443667911108396</v>
      </c>
      <c r="AD15" s="89">
        <f t="shared" si="5"/>
        <v>0.55332104654176262</v>
      </c>
      <c r="AE15" s="89">
        <f t="shared" si="5"/>
        <v>0.54524779626998232</v>
      </c>
      <c r="AF15" s="89">
        <f t="shared" si="5"/>
        <v>0.50998166256768551</v>
      </c>
      <c r="AG15" s="89">
        <f t="shared" si="5"/>
        <v>0.53926780235291105</v>
      </c>
      <c r="AH15" s="89">
        <f t="shared" si="5"/>
        <v>0.53682074569267024</v>
      </c>
      <c r="AI15" s="89">
        <f t="shared" si="5"/>
        <v>0.51859263548135437</v>
      </c>
      <c r="AJ15" s="89">
        <f t="shared" si="5"/>
        <v>0.50851654420105896</v>
      </c>
      <c r="AK15" s="89">
        <f t="shared" si="5"/>
        <v>0.49859025022145309</v>
      </c>
      <c r="AL15" s="89">
        <f t="shared" si="5"/>
        <v>0.51387398297378928</v>
      </c>
      <c r="AM15" s="89">
        <f t="shared" si="5"/>
        <v>0.50279571652125887</v>
      </c>
      <c r="AN15" s="89">
        <f>AN7/AN$11</f>
        <v>0.52708552400292252</v>
      </c>
      <c r="AO15" s="89">
        <f>AO7/AO$11</f>
        <v>0.49571013846693585</v>
      </c>
      <c r="AP15" s="89">
        <f>AP7/AP$11</f>
        <v>0.49071433811644088</v>
      </c>
    </row>
    <row r="16" spans="2:43">
      <c r="B16" s="469"/>
      <c r="D16" s="36" t="s">
        <v>172</v>
      </c>
      <c r="E16" s="89">
        <f t="shared" ref="E16:N16" si="6">E8/$O$11</f>
        <v>2.0382789212443929E-2</v>
      </c>
      <c r="F16" s="89">
        <f t="shared" si="6"/>
        <v>2.196222189951668E-2</v>
      </c>
      <c r="G16" s="89">
        <f t="shared" si="6"/>
        <v>2.2451548413614322E-2</v>
      </c>
      <c r="H16" s="89">
        <f t="shared" si="6"/>
        <v>2.8925477768125124E-2</v>
      </c>
      <c r="I16" s="89">
        <f t="shared" si="6"/>
        <v>3.0208933595580054E-2</v>
      </c>
      <c r="J16" s="89">
        <f t="shared" si="6"/>
        <v>2.6948056779527517E-2</v>
      </c>
      <c r="K16" s="89">
        <f t="shared" si="6"/>
        <v>2.4070389947460004E-2</v>
      </c>
      <c r="L16" s="89">
        <f t="shared" si="6"/>
        <v>2.8430609384950033E-2</v>
      </c>
      <c r="M16" s="89">
        <f t="shared" si="6"/>
        <v>3.1407824606001333E-2</v>
      </c>
      <c r="N16" s="89">
        <f t="shared" si="6"/>
        <v>3.0886683658310932E-2</v>
      </c>
      <c r="O16" s="89">
        <f t="shared" si="4"/>
        <v>3.2902281967219851E-2</v>
      </c>
      <c r="P16" s="89">
        <v>3.1124173003600642E-2</v>
      </c>
      <c r="R16" s="89">
        <f t="shared" si="5"/>
        <v>2.0194693675482347E-2</v>
      </c>
      <c r="S16" s="89">
        <f t="shared" si="5"/>
        <v>3.3565368683836021E-2</v>
      </c>
      <c r="T16" s="89">
        <f t="shared" si="5"/>
        <v>4.6586107130796681E-2</v>
      </c>
      <c r="U16" s="89">
        <f t="shared" si="5"/>
        <v>4.2245503624958193E-2</v>
      </c>
      <c r="V16" s="89">
        <f t="shared" si="5"/>
        <v>3.0662637281639274E-2</v>
      </c>
      <c r="W16" s="89">
        <f t="shared" si="5"/>
        <v>3.1794775032372234E-2</v>
      </c>
      <c r="X16" s="89">
        <f t="shared" si="5"/>
        <v>2.4767930123814882E-2</v>
      </c>
      <c r="Y16" s="89">
        <f t="shared" si="5"/>
        <v>3.7563982818275804E-2</v>
      </c>
      <c r="Z16" s="89">
        <f t="shared" si="5"/>
        <v>2.7682151617022543E-2</v>
      </c>
      <c r="AA16" s="89">
        <f t="shared" si="5"/>
        <v>3.200266410373806E-2</v>
      </c>
      <c r="AB16" s="89">
        <f t="shared" si="5"/>
        <v>2.3860363579406955E-2</v>
      </c>
      <c r="AC16" s="89">
        <f t="shared" si="5"/>
        <v>2.6788940523807803E-2</v>
      </c>
      <c r="AD16" s="89">
        <f t="shared" si="5"/>
        <v>2.0419452951961084E-2</v>
      </c>
      <c r="AE16" s="89">
        <f t="shared" si="5"/>
        <v>2.5554502776613353E-2</v>
      </c>
      <c r="AF16" s="89">
        <f t="shared" si="5"/>
        <v>3.325344792156134E-2</v>
      </c>
      <c r="AG16" s="89">
        <f t="shared" si="5"/>
        <v>4.0030391478430141E-2</v>
      </c>
      <c r="AH16" s="89">
        <f t="shared" si="5"/>
        <v>3.4765851989517392E-2</v>
      </c>
      <c r="AI16" s="89">
        <f t="shared" si="5"/>
        <v>4.518604467520923E-2</v>
      </c>
      <c r="AJ16" s="89">
        <f t="shared" si="5"/>
        <v>3.0716175618007734E-2</v>
      </c>
      <c r="AK16" s="89">
        <f t="shared" si="5"/>
        <v>3.7107580900375685E-2</v>
      </c>
      <c r="AL16" s="89">
        <f t="shared" si="5"/>
        <v>2.8490017928288904E-2</v>
      </c>
      <c r="AM16" s="89">
        <f t="shared" si="5"/>
        <v>3.7284675415000357E-2</v>
      </c>
      <c r="AN16" s="89">
        <f t="shared" ref="AN16:AO18" si="7">AN8/AN$11</f>
        <v>2.8006883257529942E-2</v>
      </c>
      <c r="AO16" s="89">
        <f t="shared" si="7"/>
        <v>3.4234915831284282E-2</v>
      </c>
      <c r="AP16" s="89">
        <f t="shared" ref="AP16" si="8">AP8/AP$11</f>
        <v>2.9235968516785216E-2</v>
      </c>
    </row>
    <row r="17" spans="2:43">
      <c r="B17" s="469"/>
      <c r="D17" s="36" t="s">
        <v>173</v>
      </c>
      <c r="E17" s="89">
        <f t="shared" ref="E17:N17" si="9">E9/$O$11</f>
        <v>0.10123783803477113</v>
      </c>
      <c r="F17" s="89">
        <f t="shared" si="9"/>
        <v>6.873498114994811E-2</v>
      </c>
      <c r="G17" s="89">
        <f t="shared" si="9"/>
        <v>9.3632751625230076E-2</v>
      </c>
      <c r="H17" s="89">
        <f t="shared" si="9"/>
        <v>0.13862698141062121</v>
      </c>
      <c r="I17" s="89">
        <f t="shared" si="9"/>
        <v>0.14148001771345564</v>
      </c>
      <c r="J17" s="89">
        <f t="shared" si="9"/>
        <v>0.15433551193785308</v>
      </c>
      <c r="K17" s="89">
        <f t="shared" si="9"/>
        <v>0.15395825433176608</v>
      </c>
      <c r="L17" s="89">
        <f t="shared" si="9"/>
        <v>0.12453852394369666</v>
      </c>
      <c r="M17" s="89">
        <f t="shared" si="9"/>
        <v>0.12948289743283178</v>
      </c>
      <c r="N17" s="89">
        <f t="shared" si="9"/>
        <v>0.15494121770257713</v>
      </c>
      <c r="O17" s="89">
        <f t="shared" si="4"/>
        <v>0.15835357227341326</v>
      </c>
      <c r="P17" s="89">
        <v>0.15366596769872465</v>
      </c>
      <c r="R17" s="89">
        <f t="shared" si="5"/>
        <v>0.14074201636793496</v>
      </c>
      <c r="S17" s="89">
        <f t="shared" si="5"/>
        <v>0.12760304577810261</v>
      </c>
      <c r="T17" s="89">
        <f t="shared" si="5"/>
        <v>0.15068131828013909</v>
      </c>
      <c r="U17" s="89">
        <f t="shared" si="5"/>
        <v>0.12817773657353687</v>
      </c>
      <c r="V17" s="89">
        <f t="shared" si="5"/>
        <v>0.13967683872600214</v>
      </c>
      <c r="W17" s="89">
        <f t="shared" si="5"/>
        <v>0.12301295615311003</v>
      </c>
      <c r="X17" s="89">
        <f t="shared" si="5"/>
        <v>0.15739163974280079</v>
      </c>
      <c r="Y17" s="89">
        <f t="shared" si="5"/>
        <v>0.14246771650548512</v>
      </c>
      <c r="Z17" s="89">
        <f t="shared" si="5"/>
        <v>0.15077874330917881</v>
      </c>
      <c r="AA17" s="89">
        <f t="shared" si="5"/>
        <v>0.13013690685996884</v>
      </c>
      <c r="AB17" s="89">
        <f t="shared" si="5"/>
        <v>0.1581756419418312</v>
      </c>
      <c r="AC17" s="89">
        <f t="shared" si="5"/>
        <v>0.13249515962297415</v>
      </c>
      <c r="AD17" s="89">
        <f t="shared" si="5"/>
        <v>0.15668376091432226</v>
      </c>
      <c r="AE17" s="89">
        <f t="shared" si="5"/>
        <v>0.13655066288302287</v>
      </c>
      <c r="AF17" s="89">
        <f t="shared" si="5"/>
        <v>0.17487968105171259</v>
      </c>
      <c r="AG17" s="89">
        <f t="shared" si="5"/>
        <v>0.1455668552479075</v>
      </c>
      <c r="AH17" s="89">
        <f t="shared" si="5"/>
        <v>0.18357263757894027</v>
      </c>
      <c r="AI17" s="89">
        <f t="shared" si="5"/>
        <v>0.14746733906947185</v>
      </c>
      <c r="AJ17" s="89">
        <f t="shared" si="5"/>
        <v>0.1859927845065209</v>
      </c>
      <c r="AK17" s="89">
        <f t="shared" si="5"/>
        <v>0.1554791831930816</v>
      </c>
      <c r="AL17" s="89">
        <f t="shared" si="5"/>
        <v>0.17752115919105418</v>
      </c>
      <c r="AM17" s="89">
        <f t="shared" si="5"/>
        <v>0.13931574802344254</v>
      </c>
      <c r="AN17" s="89">
        <f t="shared" si="7"/>
        <v>0.15909353664320078</v>
      </c>
      <c r="AO17" s="89">
        <f t="shared" si="7"/>
        <v>0.1482497977109751</v>
      </c>
      <c r="AP17" s="89">
        <f t="shared" ref="AP17" si="10">AP9/AP$11</f>
        <v>0.16780621199332155</v>
      </c>
    </row>
    <row r="18" spans="2:43">
      <c r="B18" s="469"/>
      <c r="D18" s="36" t="s">
        <v>174</v>
      </c>
      <c r="E18" s="89">
        <f t="shared" ref="E18:N18" si="11">E10/$O$11</f>
        <v>0.18009647983555019</v>
      </c>
      <c r="F18" s="89">
        <f t="shared" si="11"/>
        <v>0.11129961448090391</v>
      </c>
      <c r="G18" s="89">
        <f t="shared" si="11"/>
        <v>0.15809402807161943</v>
      </c>
      <c r="H18" s="89">
        <f t="shared" si="11"/>
        <v>0.20680408107343953</v>
      </c>
      <c r="I18" s="89">
        <f t="shared" si="11"/>
        <v>0.2414183900767703</v>
      </c>
      <c r="J18" s="89">
        <f t="shared" si="11"/>
        <v>0.28664291531049096</v>
      </c>
      <c r="K18" s="89">
        <f t="shared" si="11"/>
        <v>0.2946841673418682</v>
      </c>
      <c r="L18" s="89">
        <f t="shared" si="11"/>
        <v>0.21631515993680217</v>
      </c>
      <c r="M18" s="89">
        <f t="shared" si="11"/>
        <v>0.20943277430584242</v>
      </c>
      <c r="N18" s="89">
        <f t="shared" si="11"/>
        <v>0.26557970772798251</v>
      </c>
      <c r="O18" s="89">
        <f t="shared" si="4"/>
        <v>0.30042810938623288</v>
      </c>
      <c r="P18" s="89">
        <v>0.30382851899194629</v>
      </c>
      <c r="R18" s="89">
        <f t="shared" si="5"/>
        <v>0.2364046269393974</v>
      </c>
      <c r="S18" s="89">
        <f t="shared" si="5"/>
        <v>0.24050760829638221</v>
      </c>
      <c r="T18" s="89">
        <f t="shared" si="5"/>
        <v>0.22225578869550136</v>
      </c>
      <c r="U18" s="89">
        <f t="shared" si="5"/>
        <v>0.2255325702663587</v>
      </c>
      <c r="V18" s="89">
        <f t="shared" si="5"/>
        <v>0.21290232825575939</v>
      </c>
      <c r="W18" s="89">
        <f t="shared" si="5"/>
        <v>0.22633042389231992</v>
      </c>
      <c r="X18" s="89">
        <f t="shared" si="5"/>
        <v>0.20631122885634984</v>
      </c>
      <c r="Y18" s="89">
        <f t="shared" si="5"/>
        <v>0.24018762537266161</v>
      </c>
      <c r="Z18" s="89">
        <f t="shared" si="5"/>
        <v>0.23497257181500711</v>
      </c>
      <c r="AA18" s="89">
        <f t="shared" si="5"/>
        <v>0.24290936955770021</v>
      </c>
      <c r="AB18" s="89">
        <f t="shared" si="5"/>
        <v>0.25243296688236044</v>
      </c>
      <c r="AC18" s="89">
        <f t="shared" si="5"/>
        <v>0.28627922074213408</v>
      </c>
      <c r="AD18" s="89">
        <f t="shared" si="5"/>
        <v>0.26957573959195391</v>
      </c>
      <c r="AE18" s="89">
        <f t="shared" si="5"/>
        <v>0.29264703807038139</v>
      </c>
      <c r="AF18" s="89">
        <f t="shared" si="5"/>
        <v>0.28188520845904047</v>
      </c>
      <c r="AG18" s="89">
        <f t="shared" si="5"/>
        <v>0.27513495092075124</v>
      </c>
      <c r="AH18" s="89">
        <f t="shared" si="5"/>
        <v>0.24484076473887209</v>
      </c>
      <c r="AI18" s="89">
        <f t="shared" si="5"/>
        <v>0.28875398077396458</v>
      </c>
      <c r="AJ18" s="89">
        <f t="shared" si="5"/>
        <v>0.27477449567441231</v>
      </c>
      <c r="AK18" s="89">
        <f t="shared" si="5"/>
        <v>0.30882298568508965</v>
      </c>
      <c r="AL18" s="89">
        <f t="shared" si="5"/>
        <v>0.28011483990686764</v>
      </c>
      <c r="AM18" s="89">
        <f t="shared" si="5"/>
        <v>0.32060386004029823</v>
      </c>
      <c r="AN18" s="89">
        <f t="shared" si="7"/>
        <v>0.28581405609634675</v>
      </c>
      <c r="AO18" s="89">
        <f t="shared" si="7"/>
        <v>0.32180514799080495</v>
      </c>
      <c r="AP18" s="89">
        <f t="shared" ref="AP18" si="12">AP10/AP$11</f>
        <v>0.31224348137345248</v>
      </c>
    </row>
    <row r="19" spans="2:43">
      <c r="D19" s="36"/>
      <c r="E19" s="91"/>
      <c r="F19" s="91"/>
      <c r="G19" s="91"/>
      <c r="H19" s="91"/>
      <c r="I19" s="91"/>
      <c r="J19" s="91"/>
      <c r="K19" s="91"/>
      <c r="L19" s="91"/>
      <c r="M19" s="91"/>
      <c r="N19" s="91"/>
      <c r="O19" s="91"/>
      <c r="P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row>
    <row r="20" spans="2:43" ht="12" customHeight="1">
      <c r="B20" s="471" t="s">
        <v>176</v>
      </c>
      <c r="D20" s="116" t="s">
        <v>743</v>
      </c>
      <c r="E20" s="138"/>
      <c r="F20" s="138"/>
      <c r="G20" s="138"/>
      <c r="H20" s="138"/>
      <c r="I20" s="138"/>
      <c r="J20" s="138"/>
      <c r="K20" s="138"/>
      <c r="L20" s="138"/>
      <c r="M20" s="138"/>
      <c r="N20" s="138"/>
      <c r="O20" s="138"/>
      <c r="P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row>
    <row r="21" spans="2:43">
      <c r="B21" s="471"/>
      <c r="D21" s="36" t="s">
        <v>633</v>
      </c>
      <c r="E21" s="91">
        <v>390.71899999999999</v>
      </c>
      <c r="F21" s="91">
        <v>370.399</v>
      </c>
      <c r="G21" s="91">
        <v>424.28199999999998</v>
      </c>
      <c r="H21" s="91">
        <v>497.15699999999998</v>
      </c>
      <c r="I21" s="91">
        <v>519.42399999999998</v>
      </c>
      <c r="J21" s="91">
        <v>520.32299999999998</v>
      </c>
      <c r="K21" s="91">
        <v>622.28599999999994</v>
      </c>
      <c r="L21" s="91">
        <v>608.16099999999994</v>
      </c>
      <c r="M21" s="91">
        <v>674.89</v>
      </c>
      <c r="N21" s="91">
        <v>732.36400000000003</v>
      </c>
      <c r="O21" s="91">
        <v>858.15800000000002</v>
      </c>
      <c r="P21" s="91">
        <v>927.16700000000003</v>
      </c>
      <c r="R21" s="91">
        <v>208.458</v>
      </c>
      <c r="S21" s="91">
        <v>182.261</v>
      </c>
      <c r="T21" s="91">
        <v>178.38900000000001</v>
      </c>
      <c r="U21" s="91">
        <v>192.01</v>
      </c>
      <c r="V21" s="91">
        <v>222.553</v>
      </c>
      <c r="W21" s="91">
        <v>201.72899999999998</v>
      </c>
      <c r="X21" s="91">
        <v>242.69</v>
      </c>
      <c r="Y21" s="91">
        <v>254.46699999999998</v>
      </c>
      <c r="Z21" s="91">
        <v>273.05799999999999</v>
      </c>
      <c r="AA21" s="91">
        <v>246.36599999999999</v>
      </c>
      <c r="AB21" s="91">
        <v>255.05600000000001</v>
      </c>
      <c r="AC21" s="91">
        <v>265.26699999999994</v>
      </c>
      <c r="AD21" s="91">
        <v>315.68599999999998</v>
      </c>
      <c r="AE21" s="91">
        <v>306.59999999999997</v>
      </c>
      <c r="AF21" s="91">
        <v>311.04599999999999</v>
      </c>
      <c r="AG21" s="91">
        <v>297.11499999999995</v>
      </c>
      <c r="AH21" s="91">
        <v>340.596</v>
      </c>
      <c r="AI21" s="91">
        <v>334.29399999999998</v>
      </c>
      <c r="AJ21" s="91">
        <v>352.56</v>
      </c>
      <c r="AK21" s="91">
        <v>379.80400000000003</v>
      </c>
      <c r="AL21" s="91">
        <v>421.31299999999999</v>
      </c>
      <c r="AM21" s="91">
        <v>436.84500000000003</v>
      </c>
      <c r="AN21" s="91">
        <v>465.32499999999999</v>
      </c>
      <c r="AO21" s="91">
        <f>P21-AN21</f>
        <v>461.84200000000004</v>
      </c>
      <c r="AP21" s="91">
        <v>456.61799999999999</v>
      </c>
    </row>
    <row r="22" spans="2:43">
      <c r="B22" s="471"/>
      <c r="D22" s="140" t="s">
        <v>170</v>
      </c>
      <c r="E22" s="218">
        <v>390.71899999999999</v>
      </c>
      <c r="F22" s="218">
        <v>370.399</v>
      </c>
      <c r="G22" s="218">
        <v>424.28199999999998</v>
      </c>
      <c r="H22" s="218">
        <v>497.15699999999998</v>
      </c>
      <c r="I22" s="218">
        <v>519.90200000000004</v>
      </c>
      <c r="J22" s="218">
        <v>521.75599999999997</v>
      </c>
      <c r="K22" s="218">
        <v>630.47799999999995</v>
      </c>
      <c r="L22" s="218">
        <v>614.99400000000003</v>
      </c>
      <c r="M22" s="218">
        <v>679.86400000000003</v>
      </c>
      <c r="N22" s="218">
        <v>736.745</v>
      </c>
      <c r="O22" s="218">
        <v>861.38099999999997</v>
      </c>
      <c r="P22" s="218">
        <v>929.77499999999998</v>
      </c>
      <c r="R22" s="218">
        <v>208.458</v>
      </c>
      <c r="S22" s="218">
        <v>182.261</v>
      </c>
      <c r="T22" s="218">
        <v>178.38900000000001</v>
      </c>
      <c r="U22" s="218">
        <v>192.01</v>
      </c>
      <c r="V22" s="218">
        <v>222.553</v>
      </c>
      <c r="W22" s="218">
        <v>201.72899999999998</v>
      </c>
      <c r="X22" s="218">
        <v>242.69</v>
      </c>
      <c r="Y22" s="218">
        <v>254.46699999999998</v>
      </c>
      <c r="Z22" s="218">
        <v>273.13200000000001</v>
      </c>
      <c r="AA22" s="218">
        <v>246.77000000000004</v>
      </c>
      <c r="AB22" s="218">
        <v>255.12</v>
      </c>
      <c r="AC22" s="218">
        <v>266.63599999999997</v>
      </c>
      <c r="AD22" s="218">
        <v>318.84699999999998</v>
      </c>
      <c r="AE22" s="218">
        <v>311.63099999999997</v>
      </c>
      <c r="AF22" s="218">
        <v>314.78800000000001</v>
      </c>
      <c r="AG22" s="218">
        <v>300.20600000000002</v>
      </c>
      <c r="AH22" s="218">
        <v>342.70499999999998</v>
      </c>
      <c r="AI22" s="218">
        <v>337.15900000000005</v>
      </c>
      <c r="AJ22" s="218">
        <v>354.43099999999998</v>
      </c>
      <c r="AK22" s="218">
        <v>382.31400000000002</v>
      </c>
      <c r="AL22" s="218">
        <v>423.20600000000002</v>
      </c>
      <c r="AM22" s="218">
        <v>438.17500000000001</v>
      </c>
      <c r="AN22" s="218">
        <v>466.52699999999999</v>
      </c>
      <c r="AO22" s="218">
        <f t="shared" ref="AO22:AO27" si="13">P22-AN22</f>
        <v>463.24799999999999</v>
      </c>
      <c r="AP22" s="218">
        <v>458.61900000000003</v>
      </c>
    </row>
    <row r="23" spans="2:43">
      <c r="B23" s="471"/>
      <c r="D23" s="36" t="s">
        <v>171</v>
      </c>
      <c r="E23" s="91">
        <v>399.42700000000002</v>
      </c>
      <c r="F23" s="91">
        <v>377.05599999999998</v>
      </c>
      <c r="G23" s="91">
        <v>435.09399999999999</v>
      </c>
      <c r="H23" s="91">
        <v>515.89800000000002</v>
      </c>
      <c r="I23" s="91">
        <v>543.08699999999999</v>
      </c>
      <c r="J23" s="91">
        <v>537.20699999999999</v>
      </c>
      <c r="K23" s="91">
        <v>640.72500000000002</v>
      </c>
      <c r="L23" s="91">
        <v>620.93200000000002</v>
      </c>
      <c r="M23" s="91">
        <v>685.673</v>
      </c>
      <c r="N23" s="91">
        <v>740.98699999999997</v>
      </c>
      <c r="O23" s="91">
        <v>867.57799999999997</v>
      </c>
      <c r="P23" s="91">
        <v>936.68499999999995</v>
      </c>
      <c r="R23" s="133">
        <v>213.70599999999999</v>
      </c>
      <c r="S23" s="133">
        <v>185.72100000000003</v>
      </c>
      <c r="T23" s="133">
        <v>180.55</v>
      </c>
      <c r="U23" s="133">
        <v>196.50599999999997</v>
      </c>
      <c r="V23" s="133">
        <v>226.42500000000001</v>
      </c>
      <c r="W23" s="133">
        <v>208.66899999999998</v>
      </c>
      <c r="X23" s="133">
        <v>250.386</v>
      </c>
      <c r="Y23" s="133">
        <v>265.51200000000006</v>
      </c>
      <c r="Z23" s="133">
        <v>286.23599999999999</v>
      </c>
      <c r="AA23" s="133">
        <v>256.851</v>
      </c>
      <c r="AB23" s="133">
        <v>262.072</v>
      </c>
      <c r="AC23" s="133">
        <v>275.13499999999999</v>
      </c>
      <c r="AD23" s="133">
        <v>325.19</v>
      </c>
      <c r="AE23" s="133">
        <v>315.53500000000003</v>
      </c>
      <c r="AF23" s="133">
        <v>317.68400000000003</v>
      </c>
      <c r="AG23" s="133">
        <v>303.24799999999999</v>
      </c>
      <c r="AH23" s="133">
        <v>346.262</v>
      </c>
      <c r="AI23" s="133">
        <v>339.411</v>
      </c>
      <c r="AJ23" s="133">
        <v>356.613</v>
      </c>
      <c r="AK23" s="133">
        <v>384.37399999999997</v>
      </c>
      <c r="AL23" s="133">
        <v>426.26400000000001</v>
      </c>
      <c r="AM23" s="133">
        <v>441.31400000000002</v>
      </c>
      <c r="AN23" s="133">
        <v>469.68599999999998</v>
      </c>
      <c r="AO23" s="133">
        <f t="shared" si="13"/>
        <v>466.99899999999997</v>
      </c>
      <c r="AP23" s="133">
        <v>465.74400000000003</v>
      </c>
    </row>
    <row r="24" spans="2:43">
      <c r="B24" s="471"/>
      <c r="D24" s="36" t="s">
        <v>172</v>
      </c>
      <c r="E24" s="91">
        <v>3.0489999999999782</v>
      </c>
      <c r="F24" s="91">
        <v>0.748</v>
      </c>
      <c r="G24" s="91">
        <v>2.3199999999999998</v>
      </c>
      <c r="H24" s="91">
        <v>3.8130000000000002</v>
      </c>
      <c r="I24" s="91">
        <v>3.3540000000000001</v>
      </c>
      <c r="J24" s="91">
        <v>2.645</v>
      </c>
      <c r="K24" s="91">
        <v>5.4379999999999997</v>
      </c>
      <c r="L24" s="91">
        <v>2.4319999999999999</v>
      </c>
      <c r="M24" s="91">
        <v>0.622</v>
      </c>
      <c r="N24" s="91">
        <v>0.78700000000000003</v>
      </c>
      <c r="O24" s="91">
        <v>0.38500000000000001</v>
      </c>
      <c r="P24" s="91">
        <v>0.80400000000000005</v>
      </c>
      <c r="R24" s="91">
        <v>2.3740000000000001</v>
      </c>
      <c r="S24" s="91">
        <v>0.67499999999997806</v>
      </c>
      <c r="T24" s="91">
        <v>0.41799999999999998</v>
      </c>
      <c r="U24" s="91">
        <v>0.33</v>
      </c>
      <c r="V24" s="91">
        <v>0.59</v>
      </c>
      <c r="W24" s="91">
        <v>1.73</v>
      </c>
      <c r="X24" s="91">
        <v>1.9990000000000001</v>
      </c>
      <c r="Y24" s="91">
        <v>1.8140000000000001</v>
      </c>
      <c r="Z24" s="91">
        <v>1.544</v>
      </c>
      <c r="AA24" s="91">
        <v>1.81</v>
      </c>
      <c r="AB24" s="91">
        <v>1.4490000000000001</v>
      </c>
      <c r="AC24" s="91">
        <v>1.196</v>
      </c>
      <c r="AD24" s="91">
        <v>2.661</v>
      </c>
      <c r="AE24" s="91">
        <v>2.7769999999999997</v>
      </c>
      <c r="AF24" s="91">
        <v>1.5860000000000001</v>
      </c>
      <c r="AG24" s="91">
        <v>0.84599999999999986</v>
      </c>
      <c r="AH24" s="91">
        <v>0.373</v>
      </c>
      <c r="AI24" s="91">
        <v>0.249</v>
      </c>
      <c r="AJ24" s="91">
        <v>0.33600000000000002</v>
      </c>
      <c r="AK24" s="91">
        <v>0.45100000000000001</v>
      </c>
      <c r="AL24" s="91">
        <v>0.185</v>
      </c>
      <c r="AM24" s="91">
        <v>0.2</v>
      </c>
      <c r="AN24" s="91">
        <v>0.29799999999999999</v>
      </c>
      <c r="AO24" s="91">
        <f t="shared" si="13"/>
        <v>0.50600000000000001</v>
      </c>
      <c r="AP24" s="91">
        <v>0.17399999999999999</v>
      </c>
    </row>
    <row r="25" spans="2:43">
      <c r="B25" s="471"/>
      <c r="D25" s="36" t="s">
        <v>173</v>
      </c>
      <c r="E25" s="91">
        <v>91.593999999999994</v>
      </c>
      <c r="F25" s="91">
        <v>65.414000000000001</v>
      </c>
      <c r="G25" s="391">
        <v>86.65</v>
      </c>
      <c r="H25" s="91">
        <v>105.98699999999999</v>
      </c>
      <c r="I25" s="91">
        <v>133.702</v>
      </c>
      <c r="J25" s="91">
        <v>109.38</v>
      </c>
      <c r="K25" s="91">
        <v>126.57</v>
      </c>
      <c r="L25" s="91">
        <v>146.55099999999999</v>
      </c>
      <c r="M25" s="91">
        <v>182.25299999999999</v>
      </c>
      <c r="N25" s="91">
        <v>214.262</v>
      </c>
      <c r="O25" s="91">
        <v>226.85400000000001</v>
      </c>
      <c r="P25" s="91">
        <v>247.333</v>
      </c>
      <c r="R25" s="91">
        <v>48.267000000000003</v>
      </c>
      <c r="S25" s="91">
        <v>43.326999999999991</v>
      </c>
      <c r="T25" s="91">
        <v>28.89</v>
      </c>
      <c r="U25" s="91">
        <v>36.524000000000001</v>
      </c>
      <c r="V25" s="91">
        <v>42.015000000000001</v>
      </c>
      <c r="W25" s="91">
        <v>44.635000000000005</v>
      </c>
      <c r="X25" s="91">
        <v>48.81</v>
      </c>
      <c r="Y25" s="91">
        <v>57.176999999999992</v>
      </c>
      <c r="Z25" s="91">
        <v>63.207000000000001</v>
      </c>
      <c r="AA25" s="91">
        <v>70.495000000000005</v>
      </c>
      <c r="AB25" s="91">
        <v>55.899000000000001</v>
      </c>
      <c r="AC25" s="91">
        <v>53.480999999999995</v>
      </c>
      <c r="AD25" s="91">
        <v>69.239999999999995</v>
      </c>
      <c r="AE25" s="91">
        <v>57.33</v>
      </c>
      <c r="AF25" s="91">
        <v>67.36</v>
      </c>
      <c r="AG25" s="91">
        <v>79.190999999999988</v>
      </c>
      <c r="AH25" s="91">
        <v>96.373000000000005</v>
      </c>
      <c r="AI25" s="91">
        <v>85.879999999999981</v>
      </c>
      <c r="AJ25" s="91">
        <v>109.988</v>
      </c>
      <c r="AK25" s="91">
        <v>104.274</v>
      </c>
      <c r="AL25" s="91">
        <v>112.491</v>
      </c>
      <c r="AM25" s="91">
        <v>114.363</v>
      </c>
      <c r="AN25" s="91">
        <v>117.26300000000001</v>
      </c>
      <c r="AO25" s="91">
        <f t="shared" si="13"/>
        <v>130.07</v>
      </c>
      <c r="AP25" s="91">
        <v>128.001</v>
      </c>
    </row>
    <row r="26" spans="2:43">
      <c r="B26" s="471"/>
      <c r="D26" s="36" t="s">
        <v>174</v>
      </c>
      <c r="E26" s="91">
        <v>50.712000000000003</v>
      </c>
      <c r="F26" s="91">
        <v>52.152999999999999</v>
      </c>
      <c r="G26" s="91">
        <v>56.426000000000002</v>
      </c>
      <c r="H26" s="91">
        <v>69.754999999999995</v>
      </c>
      <c r="I26" s="91">
        <v>88.927999999999997</v>
      </c>
      <c r="J26" s="91">
        <v>115.02800000000001</v>
      </c>
      <c r="K26" s="91">
        <v>147.434</v>
      </c>
      <c r="L26" s="91">
        <v>166.661</v>
      </c>
      <c r="M26" s="91">
        <v>185.392</v>
      </c>
      <c r="N26" s="91">
        <v>226.24700000000001</v>
      </c>
      <c r="O26" s="91">
        <f>237010/1000</f>
        <v>237.01</v>
      </c>
      <c r="P26" s="91">
        <v>237.01</v>
      </c>
      <c r="R26" s="91">
        <v>24.45</v>
      </c>
      <c r="S26" s="91">
        <v>26.262000000000004</v>
      </c>
      <c r="T26" s="91">
        <v>24.009</v>
      </c>
      <c r="U26" s="91">
        <v>28.143999999999998</v>
      </c>
      <c r="V26" s="91">
        <v>28.597000000000001</v>
      </c>
      <c r="W26" s="91">
        <v>27.829000000000001</v>
      </c>
      <c r="X26" s="91">
        <v>32.706000000000003</v>
      </c>
      <c r="Y26" s="91">
        <v>37.048999999999992</v>
      </c>
      <c r="Z26" s="91">
        <v>41.6</v>
      </c>
      <c r="AA26" s="91">
        <v>47.327999999999996</v>
      </c>
      <c r="AB26" s="91">
        <v>54.848999999999997</v>
      </c>
      <c r="AC26" s="91">
        <v>60.179000000000009</v>
      </c>
      <c r="AD26" s="91">
        <v>71.161000000000001</v>
      </c>
      <c r="AE26" s="91">
        <v>76.272999999999996</v>
      </c>
      <c r="AF26" s="91">
        <v>87.313999999999993</v>
      </c>
      <c r="AG26" s="91">
        <v>79.347000000000008</v>
      </c>
      <c r="AH26" s="91">
        <v>89.507000000000005</v>
      </c>
      <c r="AI26" s="91">
        <v>95.884999999999991</v>
      </c>
      <c r="AJ26" s="91">
        <v>112.16200000000001</v>
      </c>
      <c r="AK26" s="91">
        <v>114.08500000000001</v>
      </c>
      <c r="AL26" s="91">
        <v>117.902</v>
      </c>
      <c r="AM26" s="91">
        <v>133.649</v>
      </c>
      <c r="AN26" s="91">
        <v>116.718</v>
      </c>
      <c r="AO26" s="91">
        <f t="shared" si="13"/>
        <v>120.29199999999999</v>
      </c>
      <c r="AP26" s="91">
        <v>162.98599999999999</v>
      </c>
    </row>
    <row r="27" spans="2:43">
      <c r="B27" s="471"/>
      <c r="D27" s="116" t="s">
        <v>175</v>
      </c>
      <c r="E27" s="142">
        <f t="shared" ref="E27:H27" si="14">SUM(E23:E26)</f>
        <v>544.78200000000004</v>
      </c>
      <c r="F27" s="142">
        <f t="shared" si="14"/>
        <v>495.37099999999998</v>
      </c>
      <c r="G27" s="142">
        <f t="shared" si="14"/>
        <v>580.49</v>
      </c>
      <c r="H27" s="142">
        <f t="shared" si="14"/>
        <v>695.45299999999997</v>
      </c>
      <c r="I27" s="142">
        <f>SUM(I23:I26)</f>
        <v>769.07100000000003</v>
      </c>
      <c r="J27" s="142">
        <f t="shared" ref="J27:N27" si="15">SUM(J23:J26)</f>
        <v>764.26</v>
      </c>
      <c r="K27" s="142">
        <f t="shared" si="15"/>
        <v>920.16699999999992</v>
      </c>
      <c r="L27" s="142">
        <f t="shared" si="15"/>
        <v>936.57600000000002</v>
      </c>
      <c r="M27" s="142">
        <f t="shared" si="15"/>
        <v>1053.94</v>
      </c>
      <c r="N27" s="142">
        <f t="shared" si="15"/>
        <v>1182.2830000000001</v>
      </c>
      <c r="O27" s="142">
        <f>SUM(O23:O26)</f>
        <v>1331.827</v>
      </c>
      <c r="P27" s="142">
        <v>1421.8320000000001</v>
      </c>
      <c r="Q27" s="82"/>
      <c r="R27" s="142">
        <f t="shared" ref="R27:AM27" si="16">SUM(R23:R26)</f>
        <v>288.79699999999997</v>
      </c>
      <c r="S27" s="142">
        <f t="shared" si="16"/>
        <v>255.98500000000001</v>
      </c>
      <c r="T27" s="142">
        <f t="shared" si="16"/>
        <v>233.86700000000002</v>
      </c>
      <c r="U27" s="142">
        <f t="shared" si="16"/>
        <v>261.50399999999996</v>
      </c>
      <c r="V27" s="142">
        <f t="shared" si="16"/>
        <v>297.62700000000001</v>
      </c>
      <c r="W27" s="142">
        <f t="shared" si="16"/>
        <v>282.863</v>
      </c>
      <c r="X27" s="142">
        <f t="shared" si="16"/>
        <v>333.90100000000001</v>
      </c>
      <c r="Y27" s="142">
        <f t="shared" si="16"/>
        <v>361.55200000000002</v>
      </c>
      <c r="Z27" s="142">
        <f t="shared" si="16"/>
        <v>392.58699999999999</v>
      </c>
      <c r="AA27" s="142">
        <f t="shared" si="16"/>
        <v>376.48399999999998</v>
      </c>
      <c r="AB27" s="142">
        <f t="shared" si="16"/>
        <v>374.26900000000001</v>
      </c>
      <c r="AC27" s="142">
        <f t="shared" si="16"/>
        <v>389.99100000000004</v>
      </c>
      <c r="AD27" s="142">
        <f t="shared" si="16"/>
        <v>468.25200000000001</v>
      </c>
      <c r="AE27" s="142">
        <f t="shared" si="16"/>
        <v>451.91499999999996</v>
      </c>
      <c r="AF27" s="142">
        <f t="shared" si="16"/>
        <v>473.94400000000007</v>
      </c>
      <c r="AG27" s="142">
        <f t="shared" si="16"/>
        <v>462.63199999999995</v>
      </c>
      <c r="AH27" s="142">
        <f t="shared" si="16"/>
        <v>532.51499999999999</v>
      </c>
      <c r="AI27" s="142">
        <f t="shared" si="16"/>
        <v>521.42499999999995</v>
      </c>
      <c r="AJ27" s="142">
        <f t="shared" si="16"/>
        <v>579.09900000000005</v>
      </c>
      <c r="AK27" s="142">
        <f t="shared" si="16"/>
        <v>603.18399999999997</v>
      </c>
      <c r="AL27" s="142">
        <f t="shared" si="16"/>
        <v>656.8420000000001</v>
      </c>
      <c r="AM27" s="142">
        <f t="shared" si="16"/>
        <v>689.52599999999995</v>
      </c>
      <c r="AN27" s="142">
        <v>703.96500000000003</v>
      </c>
      <c r="AO27" s="142">
        <f t="shared" si="13"/>
        <v>717.86700000000008</v>
      </c>
      <c r="AP27" s="142">
        <v>756.90499999999997</v>
      </c>
      <c r="AQ27" s="83"/>
    </row>
    <row r="28" spans="2:43">
      <c r="B28" s="471"/>
      <c r="D28" s="36"/>
      <c r="E28" s="91"/>
      <c r="F28" s="91"/>
      <c r="G28" s="91"/>
      <c r="H28" s="91"/>
      <c r="I28" s="91"/>
      <c r="J28" s="91"/>
      <c r="K28" s="91"/>
      <c r="L28" s="91"/>
      <c r="M28" s="91"/>
      <c r="N28" s="91"/>
      <c r="O28" s="91"/>
      <c r="P28" s="89"/>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row>
    <row r="29" spans="2:43">
      <c r="B29" s="471"/>
      <c r="D29" s="116" t="s">
        <v>744</v>
      </c>
      <c r="E29" s="138"/>
      <c r="F29" s="138"/>
      <c r="G29" s="138"/>
      <c r="H29" s="138"/>
      <c r="I29" s="138"/>
      <c r="J29" s="138"/>
      <c r="K29" s="138"/>
      <c r="L29" s="138"/>
      <c r="M29" s="138"/>
      <c r="N29" s="138"/>
      <c r="O29" s="138"/>
      <c r="P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row>
    <row r="30" spans="2:43">
      <c r="B30" s="471"/>
      <c r="D30" s="36" t="s">
        <v>633</v>
      </c>
      <c r="E30" s="91">
        <v>617.03099999999995</v>
      </c>
      <c r="F30" s="91">
        <v>301.85399999999998</v>
      </c>
      <c r="G30" s="91">
        <v>524.15099999999995</v>
      </c>
      <c r="H30" s="91">
        <v>698.37099999999998</v>
      </c>
      <c r="I30" s="91">
        <v>754.37300000000005</v>
      </c>
      <c r="J30" s="91">
        <v>762.47799999999995</v>
      </c>
      <c r="K30" s="91">
        <v>618.75</v>
      </c>
      <c r="L30" s="91">
        <v>275.81700000000001</v>
      </c>
      <c r="M30" s="91">
        <v>202.34800000000001</v>
      </c>
      <c r="N30" s="91">
        <v>235.267</v>
      </c>
      <c r="O30" s="91">
        <v>222.68600000000001</v>
      </c>
      <c r="P30" s="91">
        <v>191.256</v>
      </c>
      <c r="R30" s="91">
        <v>277.60199999999998</v>
      </c>
      <c r="S30" s="91">
        <v>339.42899999999997</v>
      </c>
      <c r="T30" s="91">
        <v>128.28700000000001</v>
      </c>
      <c r="U30" s="91">
        <v>173.56699999999998</v>
      </c>
      <c r="V30" s="91">
        <v>212.21199999999999</v>
      </c>
      <c r="W30" s="91">
        <v>311.93899999999996</v>
      </c>
      <c r="X30" s="91">
        <v>356.12</v>
      </c>
      <c r="Y30" s="91">
        <v>342.25099999999998</v>
      </c>
      <c r="Z30" s="91">
        <v>332.11099999999999</v>
      </c>
      <c r="AA30" s="91">
        <v>422.26200000000006</v>
      </c>
      <c r="AB30" s="91">
        <v>391.04399999999998</v>
      </c>
      <c r="AC30" s="91">
        <v>371.43399999999997</v>
      </c>
      <c r="AD30" s="91">
        <v>314.05399999999997</v>
      </c>
      <c r="AE30" s="91">
        <v>304.69600000000003</v>
      </c>
      <c r="AF30" s="91">
        <v>137.15899999999999</v>
      </c>
      <c r="AG30" s="91">
        <v>138.65800000000002</v>
      </c>
      <c r="AH30" s="91">
        <v>106.129</v>
      </c>
      <c r="AI30" s="91">
        <v>96.219000000000008</v>
      </c>
      <c r="AJ30" s="91">
        <v>126.602</v>
      </c>
      <c r="AK30" s="91">
        <v>108.66499999999999</v>
      </c>
      <c r="AL30" s="91">
        <v>125.431</v>
      </c>
      <c r="AM30" s="91">
        <v>97.25500000000001</v>
      </c>
      <c r="AN30" s="91">
        <v>112.76600000000001</v>
      </c>
      <c r="AO30" s="91">
        <f>P30-AN30</f>
        <v>78.489999999999995</v>
      </c>
      <c r="AP30" s="91">
        <v>79.128</v>
      </c>
    </row>
    <row r="31" spans="2:43">
      <c r="B31" s="471"/>
      <c r="D31" s="140" t="s">
        <v>170</v>
      </c>
      <c r="E31" s="218">
        <v>617.03099999999995</v>
      </c>
      <c r="F31" s="218">
        <v>301.85399999999998</v>
      </c>
      <c r="G31" s="218">
        <v>524.15099999999995</v>
      </c>
      <c r="H31" s="218">
        <v>698.37099999999998</v>
      </c>
      <c r="I31" s="218">
        <v>756.61699999999996</v>
      </c>
      <c r="J31" s="218">
        <v>779.178</v>
      </c>
      <c r="K31" s="218">
        <v>636.19299999999998</v>
      </c>
      <c r="L31" s="218">
        <v>283.29500000000002</v>
      </c>
      <c r="M31" s="218">
        <v>211.53800000000001</v>
      </c>
      <c r="N31" s="218">
        <v>246.65100000000001</v>
      </c>
      <c r="O31" s="218">
        <v>232.34200000000001</v>
      </c>
      <c r="P31" s="218">
        <v>198.66</v>
      </c>
      <c r="R31" s="218">
        <v>277.60199999999998</v>
      </c>
      <c r="S31" s="218">
        <v>339.42899999999997</v>
      </c>
      <c r="T31" s="218">
        <v>128.28700000000001</v>
      </c>
      <c r="U31" s="218">
        <v>173.56699999999998</v>
      </c>
      <c r="V31" s="218">
        <v>212.21199999999999</v>
      </c>
      <c r="W31" s="218">
        <v>311.93899999999996</v>
      </c>
      <c r="X31" s="218">
        <v>356.12</v>
      </c>
      <c r="Y31" s="218">
        <v>342.25099999999998</v>
      </c>
      <c r="Z31" s="218">
        <v>332.73099999999999</v>
      </c>
      <c r="AA31" s="218">
        <v>423.88599999999997</v>
      </c>
      <c r="AB31" s="218">
        <v>395.31799999999998</v>
      </c>
      <c r="AC31" s="218">
        <v>383.86</v>
      </c>
      <c r="AD31" s="218">
        <v>324.42099999999999</v>
      </c>
      <c r="AE31" s="218">
        <v>311.77199999999999</v>
      </c>
      <c r="AF31" s="218">
        <v>141.05699999999999</v>
      </c>
      <c r="AG31" s="218">
        <v>142.23800000000003</v>
      </c>
      <c r="AH31" s="218">
        <v>108.901</v>
      </c>
      <c r="AI31" s="218">
        <v>102.63700000000001</v>
      </c>
      <c r="AJ31" s="218">
        <v>129.809</v>
      </c>
      <c r="AK31" s="218">
        <v>116.84200000000001</v>
      </c>
      <c r="AL31" s="218">
        <v>131.477</v>
      </c>
      <c r="AM31" s="218">
        <v>100.86499999999999</v>
      </c>
      <c r="AN31" s="218">
        <v>114.455</v>
      </c>
      <c r="AO31" s="218">
        <f t="shared" ref="AO31:AO36" si="17">P31-AN31</f>
        <v>84.204999999999998</v>
      </c>
      <c r="AP31" s="218">
        <v>80.965000000000003</v>
      </c>
    </row>
    <row r="32" spans="2:43">
      <c r="B32" s="471"/>
      <c r="D32" s="36" t="s">
        <v>171</v>
      </c>
      <c r="E32" s="91">
        <v>721.53099999999995</v>
      </c>
      <c r="F32" s="91">
        <v>342.29399999999998</v>
      </c>
      <c r="G32" s="91">
        <v>625.97199999999998</v>
      </c>
      <c r="H32" s="91">
        <v>838.56</v>
      </c>
      <c r="I32" s="91">
        <v>918.101</v>
      </c>
      <c r="J32" s="91">
        <v>924.096</v>
      </c>
      <c r="K32" s="91">
        <v>789.48400000000004</v>
      </c>
      <c r="L32" s="91">
        <v>365.10399999999998</v>
      </c>
      <c r="M32" s="91">
        <v>297.928</v>
      </c>
      <c r="N32" s="91">
        <v>363.07900000000001</v>
      </c>
      <c r="O32" s="91">
        <v>363.83800000000002</v>
      </c>
      <c r="P32" s="91">
        <v>352.67899999999997</v>
      </c>
      <c r="R32" s="133">
        <v>334.428</v>
      </c>
      <c r="S32" s="133">
        <v>387.10299999999995</v>
      </c>
      <c r="T32" s="133">
        <v>145.07400000000001</v>
      </c>
      <c r="U32" s="133">
        <v>197.21999999999997</v>
      </c>
      <c r="V32" s="133">
        <v>250.28899999999999</v>
      </c>
      <c r="W32" s="133">
        <v>375.68299999999999</v>
      </c>
      <c r="X32" s="133">
        <v>430.12200000000001</v>
      </c>
      <c r="Y32" s="133">
        <v>408.43799999999993</v>
      </c>
      <c r="Z32" s="133">
        <v>408.03</v>
      </c>
      <c r="AA32" s="133">
        <v>510.07100000000003</v>
      </c>
      <c r="AB32" s="133">
        <v>464.80399999999997</v>
      </c>
      <c r="AC32" s="133">
        <v>459.29200000000003</v>
      </c>
      <c r="AD32" s="133">
        <v>407.57900000000001</v>
      </c>
      <c r="AE32" s="133">
        <v>381.90500000000003</v>
      </c>
      <c r="AF32" s="133">
        <v>175.56299999999999</v>
      </c>
      <c r="AG32" s="133">
        <v>189.541</v>
      </c>
      <c r="AH32" s="133">
        <v>146.374</v>
      </c>
      <c r="AI32" s="133">
        <v>151.554</v>
      </c>
      <c r="AJ32" s="133">
        <v>185.82499999999999</v>
      </c>
      <c r="AK32" s="133">
        <v>177.25400000000002</v>
      </c>
      <c r="AL32" s="133">
        <v>189.44900000000001</v>
      </c>
      <c r="AM32" s="133">
        <v>174.38900000000001</v>
      </c>
      <c r="AN32" s="133">
        <v>190.239</v>
      </c>
      <c r="AO32" s="133">
        <f t="shared" si="17"/>
        <v>162.43999999999997</v>
      </c>
      <c r="AP32" s="133">
        <v>135.73599999999999</v>
      </c>
    </row>
    <row r="33" spans="2:44">
      <c r="B33" s="471"/>
      <c r="D33" s="36" t="s">
        <v>172</v>
      </c>
      <c r="E33" s="91">
        <v>1.4360000000000355</v>
      </c>
      <c r="F33" s="91">
        <v>0.189</v>
      </c>
      <c r="G33" s="91">
        <v>0.13300000000000001</v>
      </c>
      <c r="H33" s="91">
        <v>1.286</v>
      </c>
      <c r="I33" s="91">
        <v>2.5110000000000001</v>
      </c>
      <c r="J33" s="91">
        <v>3.1930000000000001</v>
      </c>
      <c r="K33" s="91">
        <v>1.5549999999999999</v>
      </c>
      <c r="L33" s="91">
        <v>0.877</v>
      </c>
      <c r="M33" s="91">
        <v>3.3620000000000001</v>
      </c>
      <c r="N33" s="91">
        <v>0.47399999999999998</v>
      </c>
      <c r="O33" s="91">
        <v>0.38100000000000001</v>
      </c>
      <c r="P33" s="91">
        <v>0.3</v>
      </c>
      <c r="R33" s="91">
        <v>0.86</v>
      </c>
      <c r="S33" s="91">
        <v>0.57600000000003548</v>
      </c>
      <c r="T33" s="91">
        <v>0.109</v>
      </c>
      <c r="U33" s="91">
        <v>0.08</v>
      </c>
      <c r="V33" s="91">
        <v>5.1999999999999998E-2</v>
      </c>
      <c r="W33" s="91">
        <v>8.1000000000000016E-2</v>
      </c>
      <c r="X33" s="91">
        <v>0.113</v>
      </c>
      <c r="Y33" s="91">
        <v>1.173</v>
      </c>
      <c r="Z33" s="91">
        <v>0.308</v>
      </c>
      <c r="AA33" s="91">
        <v>2.2030000000000003</v>
      </c>
      <c r="AB33" s="91">
        <v>0.88300000000000001</v>
      </c>
      <c r="AC33" s="91">
        <v>2.31</v>
      </c>
      <c r="AD33" s="91">
        <v>0.70499999999999996</v>
      </c>
      <c r="AE33" s="91">
        <v>0.85</v>
      </c>
      <c r="AF33" s="91">
        <v>0.18099999999999999</v>
      </c>
      <c r="AG33" s="91">
        <v>0.69599999999999995</v>
      </c>
      <c r="AH33" s="91">
        <v>1.0940000000000001</v>
      </c>
      <c r="AI33" s="91">
        <v>2.2679999999999998</v>
      </c>
      <c r="AJ33" s="91">
        <v>0</v>
      </c>
      <c r="AK33" s="91">
        <v>0.47399999999999998</v>
      </c>
      <c r="AL33" s="91">
        <v>5.0000000000000001E-3</v>
      </c>
      <c r="AM33" s="91">
        <v>0.376</v>
      </c>
      <c r="AN33" s="91">
        <v>0</v>
      </c>
      <c r="AO33" s="91">
        <f t="shared" si="17"/>
        <v>0.3</v>
      </c>
      <c r="AP33" s="91">
        <v>0</v>
      </c>
    </row>
    <row r="34" spans="2:44">
      <c r="B34" s="471"/>
      <c r="D34" s="36" t="s">
        <v>173</v>
      </c>
      <c r="E34" s="91">
        <v>150.35599999999999</v>
      </c>
      <c r="F34" s="91">
        <v>108.371</v>
      </c>
      <c r="G34" s="391">
        <v>133.667</v>
      </c>
      <c r="H34" s="91">
        <v>232.22800000000001</v>
      </c>
      <c r="I34" s="91">
        <v>215.863</v>
      </c>
      <c r="J34" s="91">
        <v>263.75299999999999</v>
      </c>
      <c r="K34" s="91">
        <v>251.77500000000001</v>
      </c>
      <c r="L34" s="91">
        <v>150.65199999999999</v>
      </c>
      <c r="M34" s="91">
        <v>131.173</v>
      </c>
      <c r="N34" s="91">
        <v>162.517</v>
      </c>
      <c r="O34" s="91">
        <v>154.42699999999999</v>
      </c>
      <c r="P34" s="91">
        <v>149.72999999999999</v>
      </c>
      <c r="R34" s="91">
        <v>77.394999999999996</v>
      </c>
      <c r="S34" s="91">
        <v>72.960999999999999</v>
      </c>
      <c r="T34" s="91">
        <v>58.415999999999997</v>
      </c>
      <c r="U34" s="91">
        <v>49.954999999999998</v>
      </c>
      <c r="V34" s="91">
        <v>60.502000000000002</v>
      </c>
      <c r="W34" s="91">
        <v>73.164999999999992</v>
      </c>
      <c r="X34" s="91">
        <v>122.813</v>
      </c>
      <c r="Y34" s="91">
        <v>109.41500000000001</v>
      </c>
      <c r="Z34" s="91">
        <v>117.011</v>
      </c>
      <c r="AA34" s="91">
        <v>98.852000000000004</v>
      </c>
      <c r="AB34" s="91">
        <v>145.88300000000001</v>
      </c>
      <c r="AC34" s="91">
        <v>117.86999999999998</v>
      </c>
      <c r="AD34" s="91">
        <v>135.15899999999999</v>
      </c>
      <c r="AE34" s="91">
        <v>116.61600000000001</v>
      </c>
      <c r="AF34" s="91">
        <v>97.18</v>
      </c>
      <c r="AG34" s="91">
        <v>53.47199999999998</v>
      </c>
      <c r="AH34" s="91">
        <v>75.960999999999999</v>
      </c>
      <c r="AI34" s="91">
        <v>55.212000000000003</v>
      </c>
      <c r="AJ34" s="91">
        <v>91.965999999999994</v>
      </c>
      <c r="AK34" s="91">
        <v>70.551000000000002</v>
      </c>
      <c r="AL34" s="91">
        <v>100.742</v>
      </c>
      <c r="AM34" s="91">
        <v>53.685000000000002</v>
      </c>
      <c r="AN34" s="91">
        <v>87.388999999999996</v>
      </c>
      <c r="AO34" s="91">
        <f t="shared" si="17"/>
        <v>62.340999999999994</v>
      </c>
      <c r="AP34" s="91">
        <v>85.537999999999997</v>
      </c>
    </row>
    <row r="35" spans="2:44">
      <c r="B35" s="471"/>
      <c r="D35" s="36" t="s">
        <v>174</v>
      </c>
      <c r="E35" s="91">
        <v>275.41500000000002</v>
      </c>
      <c r="F35" s="91">
        <v>117.06</v>
      </c>
      <c r="G35" s="91">
        <v>190.61799999999999</v>
      </c>
      <c r="H35" s="91">
        <v>277.738</v>
      </c>
      <c r="I35" s="91">
        <v>290.79399999999998</v>
      </c>
      <c r="J35" s="91">
        <v>343.87599999999998</v>
      </c>
      <c r="K35" s="91">
        <v>348.447</v>
      </c>
      <c r="L35" s="91">
        <v>203.041</v>
      </c>
      <c r="M35" s="91">
        <v>155.99700000000001</v>
      </c>
      <c r="N35" s="91">
        <v>224.25399999999999</v>
      </c>
      <c r="O35" s="91">
        <v>242.40600000000001</v>
      </c>
      <c r="P35" s="91">
        <v>260.55200000000002</v>
      </c>
      <c r="R35" s="91">
        <v>128.71199999999999</v>
      </c>
      <c r="S35" s="91">
        <v>146.70300000000003</v>
      </c>
      <c r="T35" s="91">
        <v>58.143000000000001</v>
      </c>
      <c r="U35" s="91">
        <v>58.917000000000002</v>
      </c>
      <c r="V35" s="91">
        <v>80.781000000000006</v>
      </c>
      <c r="W35" s="91">
        <v>109.83699999999999</v>
      </c>
      <c r="X35" s="91">
        <v>125.248</v>
      </c>
      <c r="Y35" s="91">
        <v>152.49</v>
      </c>
      <c r="Z35" s="91">
        <v>141.86199999999999</v>
      </c>
      <c r="AA35" s="91">
        <v>148.93199999999999</v>
      </c>
      <c r="AB35" s="91">
        <v>158.006</v>
      </c>
      <c r="AC35" s="91">
        <v>185.86999999999998</v>
      </c>
      <c r="AD35" s="91">
        <v>167.83699999999999</v>
      </c>
      <c r="AE35" s="91">
        <v>180.61</v>
      </c>
      <c r="AF35" s="91">
        <v>109.794</v>
      </c>
      <c r="AG35" s="91">
        <v>93.247</v>
      </c>
      <c r="AH35" s="91">
        <v>70.375</v>
      </c>
      <c r="AI35" s="91">
        <v>85.622000000000014</v>
      </c>
      <c r="AJ35" s="91">
        <v>95.506</v>
      </c>
      <c r="AK35" s="91">
        <v>128.74799999999999</v>
      </c>
      <c r="AL35" s="91">
        <v>120.176</v>
      </c>
      <c r="AM35" s="91">
        <v>123.36</v>
      </c>
      <c r="AN35" s="91">
        <v>117.386</v>
      </c>
      <c r="AO35" s="91">
        <f t="shared" si="17"/>
        <v>143.16600000000003</v>
      </c>
      <c r="AP35" s="91">
        <v>106.212</v>
      </c>
    </row>
    <row r="36" spans="2:44">
      <c r="B36" s="471"/>
      <c r="D36" s="116" t="s">
        <v>175</v>
      </c>
      <c r="E36" s="142">
        <f t="shared" ref="E36:N36" si="18">SUM(E32:E35)</f>
        <v>1148.7380000000001</v>
      </c>
      <c r="F36" s="142">
        <f t="shared" si="18"/>
        <v>567.91399999999999</v>
      </c>
      <c r="G36" s="142">
        <f t="shared" si="18"/>
        <v>950.3900000000001</v>
      </c>
      <c r="H36" s="142">
        <f t="shared" si="18"/>
        <v>1349.8119999999999</v>
      </c>
      <c r="I36" s="142">
        <f t="shared" si="18"/>
        <v>1427.2689999999998</v>
      </c>
      <c r="J36" s="142">
        <f t="shared" si="18"/>
        <v>1534.9179999999999</v>
      </c>
      <c r="K36" s="142">
        <f t="shared" si="18"/>
        <v>1391.261</v>
      </c>
      <c r="L36" s="142">
        <f t="shared" si="18"/>
        <v>719.67399999999998</v>
      </c>
      <c r="M36" s="142">
        <f t="shared" si="18"/>
        <v>588.46</v>
      </c>
      <c r="N36" s="142">
        <f t="shared" si="18"/>
        <v>750.32399999999996</v>
      </c>
      <c r="O36" s="142">
        <f>SUM(O32:O35)</f>
        <v>761.05199999999991</v>
      </c>
      <c r="P36" s="142">
        <v>763.26099999999997</v>
      </c>
      <c r="Q36" s="82"/>
      <c r="R36" s="142">
        <f t="shared" ref="R36:AM36" si="19">SUM(R32:R35)</f>
        <v>541.39499999999998</v>
      </c>
      <c r="S36" s="142">
        <f t="shared" si="19"/>
        <v>607.34300000000007</v>
      </c>
      <c r="T36" s="142">
        <f t="shared" si="19"/>
        <v>261.74200000000002</v>
      </c>
      <c r="U36" s="142">
        <f t="shared" si="19"/>
        <v>306.17200000000003</v>
      </c>
      <c r="V36" s="142">
        <f t="shared" si="19"/>
        <v>391.62399999999997</v>
      </c>
      <c r="W36" s="142">
        <f t="shared" si="19"/>
        <v>558.76599999999996</v>
      </c>
      <c r="X36" s="142">
        <f t="shared" si="19"/>
        <v>678.29600000000005</v>
      </c>
      <c r="Y36" s="142">
        <f t="shared" si="19"/>
        <v>671.51599999999996</v>
      </c>
      <c r="Z36" s="142">
        <f t="shared" si="19"/>
        <v>667.2109999999999</v>
      </c>
      <c r="AA36" s="142">
        <f t="shared" si="19"/>
        <v>760.05799999999999</v>
      </c>
      <c r="AB36" s="142">
        <f t="shared" si="19"/>
        <v>769.57599999999991</v>
      </c>
      <c r="AC36" s="142">
        <f t="shared" si="19"/>
        <v>765.34199999999998</v>
      </c>
      <c r="AD36" s="142">
        <f t="shared" si="19"/>
        <v>711.28</v>
      </c>
      <c r="AE36" s="142">
        <f t="shared" si="19"/>
        <v>679.98100000000011</v>
      </c>
      <c r="AF36" s="142">
        <f t="shared" si="19"/>
        <v>382.71799999999996</v>
      </c>
      <c r="AG36" s="142">
        <f t="shared" si="19"/>
        <v>336.95599999999996</v>
      </c>
      <c r="AH36" s="142">
        <f t="shared" si="19"/>
        <v>293.80399999999997</v>
      </c>
      <c r="AI36" s="142">
        <f t="shared" si="19"/>
        <v>294.65600000000001</v>
      </c>
      <c r="AJ36" s="142">
        <f t="shared" si="19"/>
        <v>373.29700000000003</v>
      </c>
      <c r="AK36" s="142">
        <f t="shared" si="19"/>
        <v>377.02699999999999</v>
      </c>
      <c r="AL36" s="142">
        <f t="shared" si="19"/>
        <v>410.37200000000001</v>
      </c>
      <c r="AM36" s="142">
        <f t="shared" si="19"/>
        <v>351.81</v>
      </c>
      <c r="AN36" s="142">
        <f>SUM(AN32:AN35)</f>
        <v>395.01400000000001</v>
      </c>
      <c r="AO36" s="142">
        <f t="shared" si="17"/>
        <v>368.24699999999996</v>
      </c>
      <c r="AP36" s="142">
        <v>327.48599999999999</v>
      </c>
      <c r="AQ36" s="82"/>
    </row>
    <row r="37" spans="2:44">
      <c r="B37" s="471"/>
      <c r="D37" s="17"/>
      <c r="E37" s="392"/>
      <c r="F37" s="392"/>
      <c r="G37" s="392"/>
      <c r="H37" s="392"/>
      <c r="I37" s="392"/>
      <c r="J37" s="392"/>
      <c r="K37" s="392"/>
      <c r="L37" s="392"/>
      <c r="M37" s="392"/>
      <c r="N37" s="392"/>
      <c r="O37" s="441"/>
      <c r="P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row>
    <row r="38" spans="2:44">
      <c r="B38" s="471"/>
      <c r="D38" s="116" t="s">
        <v>741</v>
      </c>
      <c r="E38" s="138"/>
      <c r="F38" s="138"/>
      <c r="G38" s="138"/>
      <c r="H38" s="138"/>
      <c r="I38" s="138"/>
      <c r="J38" s="138"/>
      <c r="K38" s="138"/>
      <c r="L38" s="138"/>
      <c r="M38" s="138"/>
      <c r="N38" s="138"/>
      <c r="O38" s="138"/>
      <c r="P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row>
    <row r="39" spans="2:44">
      <c r="B39" s="471"/>
      <c r="D39" s="36" t="s">
        <v>633</v>
      </c>
      <c r="E39" s="91">
        <f>E30+E21</f>
        <v>1007.75</v>
      </c>
      <c r="F39" s="91">
        <f t="shared" ref="F39:R45" si="20">F30+F21</f>
        <v>672.25299999999993</v>
      </c>
      <c r="G39" s="91">
        <f t="shared" si="20"/>
        <v>948.43299999999999</v>
      </c>
      <c r="H39" s="91">
        <f t="shared" si="20"/>
        <v>1195.528</v>
      </c>
      <c r="I39" s="91">
        <f t="shared" si="20"/>
        <v>1273.797</v>
      </c>
      <c r="J39" s="91">
        <f t="shared" si="20"/>
        <v>1282.8009999999999</v>
      </c>
      <c r="K39" s="91">
        <f t="shared" si="20"/>
        <v>1241.0360000000001</v>
      </c>
      <c r="L39" s="91">
        <f t="shared" si="20"/>
        <v>883.97799999999995</v>
      </c>
      <c r="M39" s="91">
        <f t="shared" si="20"/>
        <v>877.23800000000006</v>
      </c>
      <c r="N39" s="91">
        <f t="shared" si="20"/>
        <v>967.63100000000009</v>
      </c>
      <c r="O39" s="91">
        <f t="shared" si="20"/>
        <v>1080.8440000000001</v>
      </c>
      <c r="P39" s="91">
        <v>1118.423</v>
      </c>
      <c r="R39" s="91">
        <f t="shared" si="20"/>
        <v>486.05999999999995</v>
      </c>
      <c r="S39" s="91">
        <f t="shared" ref="S39:AN39" si="21">S30+S21</f>
        <v>521.68999999999994</v>
      </c>
      <c r="T39" s="91">
        <f t="shared" si="21"/>
        <v>306.67600000000004</v>
      </c>
      <c r="U39" s="91">
        <f t="shared" si="21"/>
        <v>365.577</v>
      </c>
      <c r="V39" s="91">
        <f t="shared" si="21"/>
        <v>434.76499999999999</v>
      </c>
      <c r="W39" s="91">
        <f t="shared" si="21"/>
        <v>513.66799999999989</v>
      </c>
      <c r="X39" s="91">
        <f t="shared" si="21"/>
        <v>598.80999999999995</v>
      </c>
      <c r="Y39" s="91">
        <f t="shared" si="21"/>
        <v>596.71799999999996</v>
      </c>
      <c r="Z39" s="91">
        <f t="shared" si="21"/>
        <v>605.16899999999998</v>
      </c>
      <c r="AA39" s="91">
        <f t="shared" si="21"/>
        <v>668.62800000000004</v>
      </c>
      <c r="AB39" s="91">
        <f t="shared" si="21"/>
        <v>646.1</v>
      </c>
      <c r="AC39" s="91">
        <f t="shared" si="21"/>
        <v>636.70099999999991</v>
      </c>
      <c r="AD39" s="91">
        <f t="shared" si="21"/>
        <v>629.74</v>
      </c>
      <c r="AE39" s="91">
        <f t="shared" si="21"/>
        <v>611.29600000000005</v>
      </c>
      <c r="AF39" s="91">
        <f t="shared" si="21"/>
        <v>448.20499999999998</v>
      </c>
      <c r="AG39" s="91">
        <f t="shared" si="21"/>
        <v>435.77299999999997</v>
      </c>
      <c r="AH39" s="91">
        <f t="shared" si="21"/>
        <v>446.72500000000002</v>
      </c>
      <c r="AI39" s="91">
        <f t="shared" si="21"/>
        <v>430.51299999999998</v>
      </c>
      <c r="AJ39" s="91">
        <f t="shared" si="21"/>
        <v>479.16200000000003</v>
      </c>
      <c r="AK39" s="91">
        <f t="shared" si="21"/>
        <v>488.46900000000005</v>
      </c>
      <c r="AL39" s="91">
        <f t="shared" si="21"/>
        <v>546.74400000000003</v>
      </c>
      <c r="AM39" s="91">
        <f t="shared" si="21"/>
        <v>534.1</v>
      </c>
      <c r="AN39" s="91">
        <f t="shared" si="21"/>
        <v>578.09100000000001</v>
      </c>
      <c r="AO39" s="91">
        <f>P39-AN39</f>
        <v>540.33199999999999</v>
      </c>
      <c r="AP39" s="91">
        <v>535.74599999999998</v>
      </c>
      <c r="AR39" s="82"/>
    </row>
    <row r="40" spans="2:44">
      <c r="B40" s="471"/>
      <c r="D40" s="140" t="s">
        <v>170</v>
      </c>
      <c r="E40" s="218">
        <f t="shared" ref="E40:N40" si="22">E31+E22</f>
        <v>1007.75</v>
      </c>
      <c r="F40" s="218">
        <f t="shared" si="22"/>
        <v>672.25299999999993</v>
      </c>
      <c r="G40" s="218">
        <f t="shared" si="22"/>
        <v>948.43299999999999</v>
      </c>
      <c r="H40" s="218">
        <f t="shared" si="22"/>
        <v>1195.528</v>
      </c>
      <c r="I40" s="218">
        <f t="shared" si="22"/>
        <v>1276.519</v>
      </c>
      <c r="J40" s="218">
        <f t="shared" si="22"/>
        <v>1300.934</v>
      </c>
      <c r="K40" s="218">
        <f t="shared" si="22"/>
        <v>1266.6709999999998</v>
      </c>
      <c r="L40" s="218">
        <f t="shared" si="22"/>
        <v>898.28899999999999</v>
      </c>
      <c r="M40" s="218">
        <f t="shared" si="22"/>
        <v>891.40200000000004</v>
      </c>
      <c r="N40" s="218">
        <f t="shared" si="22"/>
        <v>983.39599999999996</v>
      </c>
      <c r="O40" s="218">
        <f t="shared" si="20"/>
        <v>1093.723</v>
      </c>
      <c r="P40" s="218">
        <v>1128.4349999999999</v>
      </c>
      <c r="R40" s="218">
        <f t="shared" ref="R40:AN40" si="23">R31+R22</f>
        <v>486.05999999999995</v>
      </c>
      <c r="S40" s="218">
        <f t="shared" si="23"/>
        <v>521.68999999999994</v>
      </c>
      <c r="T40" s="218">
        <f t="shared" si="23"/>
        <v>306.67600000000004</v>
      </c>
      <c r="U40" s="218">
        <f t="shared" si="23"/>
        <v>365.577</v>
      </c>
      <c r="V40" s="218">
        <f t="shared" si="23"/>
        <v>434.76499999999999</v>
      </c>
      <c r="W40" s="218">
        <f t="shared" si="23"/>
        <v>513.66799999999989</v>
      </c>
      <c r="X40" s="218">
        <f t="shared" si="23"/>
        <v>598.80999999999995</v>
      </c>
      <c r="Y40" s="218">
        <f t="shared" si="23"/>
        <v>596.71799999999996</v>
      </c>
      <c r="Z40" s="218">
        <f t="shared" si="23"/>
        <v>605.86300000000006</v>
      </c>
      <c r="AA40" s="218">
        <f t="shared" si="23"/>
        <v>670.65599999999995</v>
      </c>
      <c r="AB40" s="218">
        <f t="shared" si="23"/>
        <v>650.43799999999999</v>
      </c>
      <c r="AC40" s="218">
        <f t="shared" si="23"/>
        <v>650.49599999999998</v>
      </c>
      <c r="AD40" s="218">
        <f t="shared" si="23"/>
        <v>643.26800000000003</v>
      </c>
      <c r="AE40" s="218">
        <f t="shared" si="23"/>
        <v>623.40300000000002</v>
      </c>
      <c r="AF40" s="218">
        <f t="shared" si="23"/>
        <v>455.84500000000003</v>
      </c>
      <c r="AG40" s="218">
        <f t="shared" si="23"/>
        <v>442.44400000000007</v>
      </c>
      <c r="AH40" s="218">
        <f t="shared" si="23"/>
        <v>451.60599999999999</v>
      </c>
      <c r="AI40" s="218">
        <f t="shared" si="23"/>
        <v>439.79600000000005</v>
      </c>
      <c r="AJ40" s="218">
        <f t="shared" si="23"/>
        <v>484.24</v>
      </c>
      <c r="AK40" s="218">
        <f t="shared" si="23"/>
        <v>499.15600000000006</v>
      </c>
      <c r="AL40" s="218">
        <f t="shared" si="23"/>
        <v>554.68299999999999</v>
      </c>
      <c r="AM40" s="218">
        <f t="shared" si="23"/>
        <v>539.04</v>
      </c>
      <c r="AN40" s="218">
        <f t="shared" si="23"/>
        <v>580.98199999999997</v>
      </c>
      <c r="AO40" s="218">
        <f t="shared" ref="AO40:AO45" si="24">P40-AN40</f>
        <v>547.45299999999997</v>
      </c>
      <c r="AP40" s="218">
        <v>539.58399999999995</v>
      </c>
      <c r="AR40" s="82"/>
    </row>
    <row r="41" spans="2:44">
      <c r="B41" s="471"/>
      <c r="D41" s="36" t="s">
        <v>171</v>
      </c>
      <c r="E41" s="91">
        <f t="shared" ref="E41:N41" si="25">E32+E23</f>
        <v>1120.9580000000001</v>
      </c>
      <c r="F41" s="91">
        <f t="shared" si="25"/>
        <v>719.34999999999991</v>
      </c>
      <c r="G41" s="91">
        <f t="shared" si="25"/>
        <v>1061.066</v>
      </c>
      <c r="H41" s="91">
        <f t="shared" si="25"/>
        <v>1354.4580000000001</v>
      </c>
      <c r="I41" s="91">
        <f t="shared" si="25"/>
        <v>1461.1880000000001</v>
      </c>
      <c r="J41" s="91">
        <f t="shared" si="25"/>
        <v>1461.3029999999999</v>
      </c>
      <c r="K41" s="91">
        <f t="shared" si="25"/>
        <v>1430.2090000000001</v>
      </c>
      <c r="L41" s="91">
        <f t="shared" si="25"/>
        <v>986.03600000000006</v>
      </c>
      <c r="M41" s="91">
        <f t="shared" si="25"/>
        <v>983.601</v>
      </c>
      <c r="N41" s="91">
        <f t="shared" si="25"/>
        <v>1104.066</v>
      </c>
      <c r="O41" s="91">
        <f t="shared" si="20"/>
        <v>1231.4159999999999</v>
      </c>
      <c r="P41" s="91">
        <v>1289.364</v>
      </c>
      <c r="R41" s="91">
        <f t="shared" ref="R41:AN41" si="26">R32+R23</f>
        <v>548.13400000000001</v>
      </c>
      <c r="S41" s="91">
        <f t="shared" si="26"/>
        <v>572.82399999999996</v>
      </c>
      <c r="T41" s="91">
        <f t="shared" si="26"/>
        <v>325.62400000000002</v>
      </c>
      <c r="U41" s="91">
        <f t="shared" si="26"/>
        <v>393.72599999999994</v>
      </c>
      <c r="V41" s="91">
        <f t="shared" si="26"/>
        <v>476.714</v>
      </c>
      <c r="W41" s="91">
        <f t="shared" si="26"/>
        <v>584.35199999999998</v>
      </c>
      <c r="X41" s="91">
        <f t="shared" si="26"/>
        <v>680.50800000000004</v>
      </c>
      <c r="Y41" s="91">
        <f t="shared" si="26"/>
        <v>673.95</v>
      </c>
      <c r="Z41" s="91">
        <f t="shared" si="26"/>
        <v>694.26599999999996</v>
      </c>
      <c r="AA41" s="91">
        <f t="shared" si="26"/>
        <v>766.92200000000003</v>
      </c>
      <c r="AB41" s="91">
        <f t="shared" si="26"/>
        <v>726.87599999999998</v>
      </c>
      <c r="AC41" s="91">
        <f t="shared" si="26"/>
        <v>734.42700000000002</v>
      </c>
      <c r="AD41" s="91">
        <f t="shared" si="26"/>
        <v>732.76900000000001</v>
      </c>
      <c r="AE41" s="91">
        <f t="shared" si="26"/>
        <v>697.44</v>
      </c>
      <c r="AF41" s="91">
        <f t="shared" si="26"/>
        <v>493.24700000000001</v>
      </c>
      <c r="AG41" s="91">
        <f t="shared" si="26"/>
        <v>492.78899999999999</v>
      </c>
      <c r="AH41" s="91">
        <f t="shared" si="26"/>
        <v>492.63599999999997</v>
      </c>
      <c r="AI41" s="91">
        <f t="shared" si="26"/>
        <v>490.96500000000003</v>
      </c>
      <c r="AJ41" s="91">
        <f t="shared" si="26"/>
        <v>542.43799999999999</v>
      </c>
      <c r="AK41" s="91">
        <f t="shared" si="26"/>
        <v>561.62799999999993</v>
      </c>
      <c r="AL41" s="91">
        <f t="shared" si="26"/>
        <v>615.71299999999997</v>
      </c>
      <c r="AM41" s="91">
        <f t="shared" si="26"/>
        <v>615.70299999999997</v>
      </c>
      <c r="AN41" s="91">
        <f t="shared" si="26"/>
        <v>659.92499999999995</v>
      </c>
      <c r="AO41" s="91">
        <f t="shared" si="24"/>
        <v>629.43900000000008</v>
      </c>
      <c r="AP41" s="91">
        <v>601.48</v>
      </c>
      <c r="AR41" s="82"/>
    </row>
    <row r="42" spans="2:44">
      <c r="B42" s="471"/>
      <c r="D42" s="36" t="s">
        <v>172</v>
      </c>
      <c r="E42" s="91">
        <f t="shared" ref="E42:N42" si="27">E33+E24</f>
        <v>4.4850000000000136</v>
      </c>
      <c r="F42" s="91">
        <f t="shared" si="27"/>
        <v>0.93700000000000006</v>
      </c>
      <c r="G42" s="91">
        <f t="shared" si="27"/>
        <v>2.4529999999999998</v>
      </c>
      <c r="H42" s="91">
        <f t="shared" si="27"/>
        <v>5.0990000000000002</v>
      </c>
      <c r="I42" s="91">
        <f t="shared" si="27"/>
        <v>5.8650000000000002</v>
      </c>
      <c r="J42" s="91">
        <f t="shared" si="27"/>
        <v>5.8380000000000001</v>
      </c>
      <c r="K42" s="91">
        <f t="shared" si="27"/>
        <v>6.9929999999999994</v>
      </c>
      <c r="L42" s="91">
        <f t="shared" si="27"/>
        <v>3.3090000000000002</v>
      </c>
      <c r="M42" s="91">
        <f t="shared" si="27"/>
        <v>3.984</v>
      </c>
      <c r="N42" s="91">
        <f t="shared" si="27"/>
        <v>1.2610000000000001</v>
      </c>
      <c r="O42" s="91">
        <f t="shared" si="20"/>
        <v>0.76600000000000001</v>
      </c>
      <c r="P42" s="91">
        <v>1.1040000000000001</v>
      </c>
      <c r="R42" s="91">
        <f t="shared" ref="R42:AN42" si="28">R33+R24</f>
        <v>3.234</v>
      </c>
      <c r="S42" s="91">
        <f t="shared" si="28"/>
        <v>1.2510000000000137</v>
      </c>
      <c r="T42" s="91">
        <f t="shared" si="28"/>
        <v>0.52700000000000002</v>
      </c>
      <c r="U42" s="91">
        <f t="shared" si="28"/>
        <v>0.41000000000000003</v>
      </c>
      <c r="V42" s="91">
        <f t="shared" si="28"/>
        <v>0.64200000000000002</v>
      </c>
      <c r="W42" s="91">
        <f t="shared" si="28"/>
        <v>1.8109999999999999</v>
      </c>
      <c r="X42" s="91">
        <f t="shared" si="28"/>
        <v>2.1120000000000001</v>
      </c>
      <c r="Y42" s="91">
        <f t="shared" si="28"/>
        <v>2.9870000000000001</v>
      </c>
      <c r="Z42" s="91">
        <f t="shared" si="28"/>
        <v>1.8520000000000001</v>
      </c>
      <c r="AA42" s="91">
        <f t="shared" si="28"/>
        <v>4.0129999999999999</v>
      </c>
      <c r="AB42" s="91">
        <f t="shared" si="28"/>
        <v>2.3319999999999999</v>
      </c>
      <c r="AC42" s="91">
        <f t="shared" si="28"/>
        <v>3.5060000000000002</v>
      </c>
      <c r="AD42" s="91">
        <f t="shared" si="28"/>
        <v>3.3660000000000001</v>
      </c>
      <c r="AE42" s="91">
        <f t="shared" si="28"/>
        <v>3.6269999999999998</v>
      </c>
      <c r="AF42" s="91">
        <f t="shared" si="28"/>
        <v>1.7670000000000001</v>
      </c>
      <c r="AG42" s="91">
        <f t="shared" si="28"/>
        <v>1.5419999999999998</v>
      </c>
      <c r="AH42" s="91">
        <f t="shared" si="28"/>
        <v>1.4670000000000001</v>
      </c>
      <c r="AI42" s="91">
        <f t="shared" si="28"/>
        <v>2.5169999999999999</v>
      </c>
      <c r="AJ42" s="91">
        <f t="shared" si="28"/>
        <v>0.33600000000000002</v>
      </c>
      <c r="AK42" s="91">
        <f t="shared" si="28"/>
        <v>0.92500000000000004</v>
      </c>
      <c r="AL42" s="91">
        <f t="shared" si="28"/>
        <v>0.19</v>
      </c>
      <c r="AM42" s="91">
        <f t="shared" si="28"/>
        <v>0.57600000000000007</v>
      </c>
      <c r="AN42" s="91">
        <f t="shared" si="28"/>
        <v>0.29799999999999999</v>
      </c>
      <c r="AO42" s="91">
        <f t="shared" si="24"/>
        <v>0.80600000000000005</v>
      </c>
      <c r="AP42" s="91">
        <v>0.17399999999999999</v>
      </c>
      <c r="AR42" s="82"/>
    </row>
    <row r="43" spans="2:44">
      <c r="B43" s="471"/>
      <c r="D43" s="36" t="s">
        <v>173</v>
      </c>
      <c r="E43" s="91">
        <f t="shared" ref="E43:N43" si="29">E34+E25</f>
        <v>241.95</v>
      </c>
      <c r="F43" s="91">
        <f t="shared" si="29"/>
        <v>173.785</v>
      </c>
      <c r="G43" s="391">
        <f t="shared" si="29"/>
        <v>220.31700000000001</v>
      </c>
      <c r="H43" s="91">
        <f t="shared" si="29"/>
        <v>338.21500000000003</v>
      </c>
      <c r="I43" s="91">
        <f t="shared" si="29"/>
        <v>349.565</v>
      </c>
      <c r="J43" s="91">
        <f t="shared" si="29"/>
        <v>373.13299999999998</v>
      </c>
      <c r="K43" s="91">
        <f t="shared" si="29"/>
        <v>378.34500000000003</v>
      </c>
      <c r="L43" s="91">
        <f t="shared" si="29"/>
        <v>297.20299999999997</v>
      </c>
      <c r="M43" s="91">
        <f t="shared" si="29"/>
        <v>313.42599999999999</v>
      </c>
      <c r="N43" s="91">
        <f t="shared" si="29"/>
        <v>376.779</v>
      </c>
      <c r="O43" s="91">
        <f t="shared" si="20"/>
        <v>381.28100000000001</v>
      </c>
      <c r="P43" s="91">
        <v>397.06299999999999</v>
      </c>
      <c r="R43" s="91">
        <f t="shared" ref="R43:AN43" si="30">R34+R25</f>
        <v>125.66200000000001</v>
      </c>
      <c r="S43" s="91">
        <f t="shared" si="30"/>
        <v>116.28799999999998</v>
      </c>
      <c r="T43" s="91">
        <f t="shared" si="30"/>
        <v>87.305999999999997</v>
      </c>
      <c r="U43" s="91">
        <f t="shared" si="30"/>
        <v>86.478999999999999</v>
      </c>
      <c r="V43" s="91">
        <f t="shared" si="30"/>
        <v>102.517</v>
      </c>
      <c r="W43" s="91">
        <f t="shared" si="30"/>
        <v>117.8</v>
      </c>
      <c r="X43" s="91">
        <f t="shared" si="30"/>
        <v>171.62299999999999</v>
      </c>
      <c r="Y43" s="91">
        <f t="shared" si="30"/>
        <v>166.59199999999998</v>
      </c>
      <c r="Z43" s="91">
        <f t="shared" si="30"/>
        <v>180.21799999999999</v>
      </c>
      <c r="AA43" s="91">
        <f t="shared" si="30"/>
        <v>169.34700000000001</v>
      </c>
      <c r="AB43" s="91">
        <f t="shared" si="30"/>
        <v>201.78200000000001</v>
      </c>
      <c r="AC43" s="91">
        <f t="shared" si="30"/>
        <v>171.35099999999997</v>
      </c>
      <c r="AD43" s="91">
        <f t="shared" si="30"/>
        <v>204.399</v>
      </c>
      <c r="AE43" s="91">
        <f t="shared" si="30"/>
        <v>173.94600000000003</v>
      </c>
      <c r="AF43" s="91">
        <f t="shared" si="30"/>
        <v>164.54000000000002</v>
      </c>
      <c r="AG43" s="91">
        <f t="shared" si="30"/>
        <v>132.66299999999995</v>
      </c>
      <c r="AH43" s="91">
        <f t="shared" si="30"/>
        <v>172.334</v>
      </c>
      <c r="AI43" s="91">
        <f t="shared" si="30"/>
        <v>141.09199999999998</v>
      </c>
      <c r="AJ43" s="91">
        <f t="shared" si="30"/>
        <v>201.95400000000001</v>
      </c>
      <c r="AK43" s="91">
        <f t="shared" si="30"/>
        <v>174.82499999999999</v>
      </c>
      <c r="AL43" s="91">
        <f t="shared" si="30"/>
        <v>213.233</v>
      </c>
      <c r="AM43" s="91">
        <f t="shared" si="30"/>
        <v>168.048</v>
      </c>
      <c r="AN43" s="91">
        <f t="shared" si="30"/>
        <v>204.65199999999999</v>
      </c>
      <c r="AO43" s="91">
        <f t="shared" si="24"/>
        <v>192.411</v>
      </c>
      <c r="AP43" s="91">
        <v>213.53899999999999</v>
      </c>
      <c r="AR43" s="82"/>
    </row>
    <row r="44" spans="2:44">
      <c r="B44" s="471"/>
      <c r="D44" s="36" t="s">
        <v>174</v>
      </c>
      <c r="E44" s="91">
        <f t="shared" ref="E44:N44" si="31">E35+E26</f>
        <v>326.12700000000001</v>
      </c>
      <c r="F44" s="91">
        <f t="shared" si="31"/>
        <v>169.21299999999999</v>
      </c>
      <c r="G44" s="91">
        <f t="shared" si="31"/>
        <v>247.04399999999998</v>
      </c>
      <c r="H44" s="91">
        <f t="shared" si="31"/>
        <v>347.49299999999999</v>
      </c>
      <c r="I44" s="91">
        <f t="shared" si="31"/>
        <v>379.72199999999998</v>
      </c>
      <c r="J44" s="91">
        <f t="shared" si="31"/>
        <v>458.904</v>
      </c>
      <c r="K44" s="91">
        <f t="shared" si="31"/>
        <v>495.88099999999997</v>
      </c>
      <c r="L44" s="91">
        <f t="shared" si="31"/>
        <v>369.702</v>
      </c>
      <c r="M44" s="91">
        <f t="shared" si="31"/>
        <v>341.38900000000001</v>
      </c>
      <c r="N44" s="91">
        <f t="shared" si="31"/>
        <v>450.50099999999998</v>
      </c>
      <c r="O44" s="91">
        <f t="shared" si="20"/>
        <v>479.416</v>
      </c>
      <c r="P44" s="91">
        <v>497.56200000000001</v>
      </c>
      <c r="R44" s="91">
        <f t="shared" ref="R44:AN44" si="32">R35+R26</f>
        <v>153.16199999999998</v>
      </c>
      <c r="S44" s="91">
        <f t="shared" si="32"/>
        <v>172.96500000000003</v>
      </c>
      <c r="T44" s="91">
        <f t="shared" si="32"/>
        <v>82.152000000000001</v>
      </c>
      <c r="U44" s="91">
        <f t="shared" si="32"/>
        <v>87.061000000000007</v>
      </c>
      <c r="V44" s="91">
        <f t="shared" si="32"/>
        <v>109.37800000000001</v>
      </c>
      <c r="W44" s="91">
        <f t="shared" si="32"/>
        <v>137.666</v>
      </c>
      <c r="X44" s="91">
        <f t="shared" si="32"/>
        <v>157.95400000000001</v>
      </c>
      <c r="Y44" s="91">
        <f t="shared" si="32"/>
        <v>189.53899999999999</v>
      </c>
      <c r="Z44" s="91">
        <f t="shared" si="32"/>
        <v>183.46199999999999</v>
      </c>
      <c r="AA44" s="91">
        <f t="shared" si="32"/>
        <v>196.26</v>
      </c>
      <c r="AB44" s="91">
        <f t="shared" si="32"/>
        <v>212.85499999999999</v>
      </c>
      <c r="AC44" s="91">
        <f t="shared" si="32"/>
        <v>246.04899999999998</v>
      </c>
      <c r="AD44" s="91">
        <f t="shared" si="32"/>
        <v>238.99799999999999</v>
      </c>
      <c r="AE44" s="91">
        <f t="shared" si="32"/>
        <v>256.88300000000004</v>
      </c>
      <c r="AF44" s="91">
        <f t="shared" si="32"/>
        <v>197.108</v>
      </c>
      <c r="AG44" s="91">
        <f t="shared" si="32"/>
        <v>172.59399999999999</v>
      </c>
      <c r="AH44" s="91">
        <f t="shared" si="32"/>
        <v>159.88200000000001</v>
      </c>
      <c r="AI44" s="91">
        <f t="shared" si="32"/>
        <v>181.50700000000001</v>
      </c>
      <c r="AJ44" s="91">
        <f t="shared" si="32"/>
        <v>207.66800000000001</v>
      </c>
      <c r="AK44" s="91">
        <f t="shared" si="32"/>
        <v>242.833</v>
      </c>
      <c r="AL44" s="91">
        <f t="shared" si="32"/>
        <v>238.078</v>
      </c>
      <c r="AM44" s="91">
        <f t="shared" si="32"/>
        <v>257.00900000000001</v>
      </c>
      <c r="AN44" s="91">
        <f t="shared" si="32"/>
        <v>234.10399999999998</v>
      </c>
      <c r="AO44" s="91">
        <f t="shared" si="24"/>
        <v>263.45800000000003</v>
      </c>
      <c r="AP44" s="91">
        <v>269.19799999999998</v>
      </c>
      <c r="AR44" s="82"/>
    </row>
    <row r="45" spans="2:44">
      <c r="B45" s="471"/>
      <c r="D45" s="116" t="s">
        <v>175</v>
      </c>
      <c r="E45" s="142">
        <f t="shared" ref="E45:N45" si="33">E36+E27</f>
        <v>1693.52</v>
      </c>
      <c r="F45" s="142">
        <f t="shared" si="33"/>
        <v>1063.2849999999999</v>
      </c>
      <c r="G45" s="142">
        <f t="shared" si="33"/>
        <v>1530.88</v>
      </c>
      <c r="H45" s="142">
        <f t="shared" si="33"/>
        <v>2045.2649999999999</v>
      </c>
      <c r="I45" s="142">
        <f t="shared" si="33"/>
        <v>2196.3399999999997</v>
      </c>
      <c r="J45" s="142">
        <f t="shared" si="33"/>
        <v>2299.1779999999999</v>
      </c>
      <c r="K45" s="142">
        <f t="shared" si="33"/>
        <v>2311.4279999999999</v>
      </c>
      <c r="L45" s="142">
        <f t="shared" si="33"/>
        <v>1656.25</v>
      </c>
      <c r="M45" s="142">
        <f t="shared" si="33"/>
        <v>1642.4</v>
      </c>
      <c r="N45" s="142">
        <f t="shared" si="33"/>
        <v>1932.607</v>
      </c>
      <c r="O45" s="142">
        <f t="shared" si="20"/>
        <v>2092.8789999999999</v>
      </c>
      <c r="P45" s="142">
        <v>2185.0929999999998</v>
      </c>
      <c r="R45" s="142">
        <f t="shared" ref="R45:AN45" si="34">R36+R27</f>
        <v>830.19200000000001</v>
      </c>
      <c r="S45" s="142">
        <f t="shared" si="34"/>
        <v>863.32800000000009</v>
      </c>
      <c r="T45" s="142">
        <f t="shared" si="34"/>
        <v>495.60900000000004</v>
      </c>
      <c r="U45" s="142">
        <f t="shared" si="34"/>
        <v>567.67599999999993</v>
      </c>
      <c r="V45" s="142">
        <f t="shared" si="34"/>
        <v>689.25099999999998</v>
      </c>
      <c r="W45" s="142">
        <f t="shared" si="34"/>
        <v>841.62899999999991</v>
      </c>
      <c r="X45" s="142">
        <f t="shared" si="34"/>
        <v>1012.1970000000001</v>
      </c>
      <c r="Y45" s="142">
        <f t="shared" si="34"/>
        <v>1033.068</v>
      </c>
      <c r="Z45" s="142">
        <f t="shared" si="34"/>
        <v>1059.7979999999998</v>
      </c>
      <c r="AA45" s="142">
        <f t="shared" si="34"/>
        <v>1136.5419999999999</v>
      </c>
      <c r="AB45" s="142">
        <f t="shared" si="34"/>
        <v>1143.8449999999998</v>
      </c>
      <c r="AC45" s="142">
        <f t="shared" si="34"/>
        <v>1155.3330000000001</v>
      </c>
      <c r="AD45" s="142">
        <f t="shared" si="34"/>
        <v>1179.5319999999999</v>
      </c>
      <c r="AE45" s="142">
        <f t="shared" si="34"/>
        <v>1131.8960000000002</v>
      </c>
      <c r="AF45" s="142">
        <f t="shared" si="34"/>
        <v>856.66200000000003</v>
      </c>
      <c r="AG45" s="142">
        <f t="shared" si="34"/>
        <v>799.58799999999997</v>
      </c>
      <c r="AH45" s="142">
        <f t="shared" si="34"/>
        <v>826.31899999999996</v>
      </c>
      <c r="AI45" s="142">
        <f t="shared" si="34"/>
        <v>816.0809999999999</v>
      </c>
      <c r="AJ45" s="142">
        <f t="shared" si="34"/>
        <v>952.39600000000007</v>
      </c>
      <c r="AK45" s="142">
        <f t="shared" si="34"/>
        <v>980.21100000000001</v>
      </c>
      <c r="AL45" s="142">
        <f t="shared" si="34"/>
        <v>1067.2140000000002</v>
      </c>
      <c r="AM45" s="142">
        <f t="shared" si="34"/>
        <v>1041.336</v>
      </c>
      <c r="AN45" s="142">
        <f t="shared" si="34"/>
        <v>1098.979</v>
      </c>
      <c r="AO45" s="142">
        <f t="shared" si="24"/>
        <v>1086.1139999999998</v>
      </c>
      <c r="AP45" s="142">
        <v>1084.3910000000001</v>
      </c>
      <c r="AQ45" s="82"/>
      <c r="AR45" s="82"/>
    </row>
    <row r="46" spans="2:44">
      <c r="D46" s="36"/>
      <c r="E46" s="91"/>
      <c r="F46" s="91"/>
      <c r="G46" s="91"/>
      <c r="H46" s="91"/>
      <c r="I46" s="91"/>
      <c r="J46" s="91"/>
      <c r="K46" s="91"/>
      <c r="L46" s="91"/>
      <c r="M46" s="91"/>
      <c r="N46" s="91"/>
      <c r="O46" s="91"/>
      <c r="P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row>
    <row r="47" spans="2:44" ht="12" customHeight="1">
      <c r="B47" s="472" t="s">
        <v>654</v>
      </c>
      <c r="D47" s="116" t="s">
        <v>745</v>
      </c>
      <c r="E47" s="138"/>
      <c r="F47" s="138"/>
      <c r="G47" s="138"/>
      <c r="H47" s="138"/>
      <c r="I47" s="138"/>
      <c r="J47" s="138"/>
      <c r="K47" s="138"/>
      <c r="L47" s="138"/>
      <c r="M47" s="138"/>
      <c r="N47" s="138"/>
      <c r="O47" s="138"/>
      <c r="P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row>
    <row r="48" spans="2:44">
      <c r="B48" s="472"/>
      <c r="D48" s="36" t="s">
        <v>633</v>
      </c>
      <c r="E48" s="91">
        <v>975.36699999999996</v>
      </c>
      <c r="F48" s="91">
        <v>659.20600000000002</v>
      </c>
      <c r="G48" s="91">
        <v>962.48299999999995</v>
      </c>
      <c r="H48" s="91">
        <v>1144.192</v>
      </c>
      <c r="I48" s="91">
        <v>1231.2950000000001</v>
      </c>
      <c r="J48" s="91">
        <v>1210.8230000000001</v>
      </c>
      <c r="K48" s="91">
        <v>1127.2070000000001</v>
      </c>
      <c r="L48" s="91">
        <v>800.20899999999995</v>
      </c>
      <c r="M48" s="91">
        <v>810.70100000000002</v>
      </c>
      <c r="N48" s="91">
        <v>910.16700000000003</v>
      </c>
      <c r="O48" s="91">
        <v>990.61199999999997</v>
      </c>
      <c r="P48" s="91">
        <v>1009.881</v>
      </c>
      <c r="R48" s="91">
        <v>480.93700000000001</v>
      </c>
      <c r="S48" s="91">
        <v>494.42999999999995</v>
      </c>
      <c r="T48" s="91">
        <v>285.39100000000002</v>
      </c>
      <c r="U48" s="91">
        <v>373.92099999999999</v>
      </c>
      <c r="V48" s="91">
        <v>435.49599999999998</v>
      </c>
      <c r="W48" s="91">
        <v>526.61700000000008</v>
      </c>
      <c r="X48" s="91">
        <v>573.67200000000003</v>
      </c>
      <c r="Y48" s="91">
        <v>570.52</v>
      </c>
      <c r="Z48" s="91">
        <v>603.59</v>
      </c>
      <c r="AA48" s="91">
        <v>627.70500000000004</v>
      </c>
      <c r="AB48" s="91">
        <v>621.74599999999998</v>
      </c>
      <c r="AC48" s="91">
        <v>589.07700000000011</v>
      </c>
      <c r="AD48" s="91">
        <v>572.322</v>
      </c>
      <c r="AE48" s="91">
        <v>554.8850000000001</v>
      </c>
      <c r="AF48" s="91">
        <v>398.48700000000002</v>
      </c>
      <c r="AG48" s="91">
        <v>401.72199999999992</v>
      </c>
      <c r="AH48" s="91">
        <v>394.37799999999999</v>
      </c>
      <c r="AI48" s="91">
        <v>416.32300000000004</v>
      </c>
      <c r="AJ48" s="91">
        <v>445.92700000000002</v>
      </c>
      <c r="AK48" s="91">
        <v>464.24</v>
      </c>
      <c r="AL48" s="91">
        <v>510.589</v>
      </c>
      <c r="AM48" s="91">
        <v>480.02299999999997</v>
      </c>
      <c r="AN48" s="91">
        <v>519.65300000000002</v>
      </c>
      <c r="AO48" s="91">
        <f>P48-AN48</f>
        <v>490.22799999999995</v>
      </c>
      <c r="AP48" s="91">
        <v>478.14100000000002</v>
      </c>
    </row>
    <row r="49" spans="2:43">
      <c r="B49" s="472"/>
      <c r="D49" s="140" t="s">
        <v>170</v>
      </c>
      <c r="E49" s="218">
        <v>975.36699999999996</v>
      </c>
      <c r="F49" s="218">
        <v>659.31200000000001</v>
      </c>
      <c r="G49" s="218">
        <v>962.58899999999994</v>
      </c>
      <c r="H49" s="218">
        <v>1144.2190000000001</v>
      </c>
      <c r="I49" s="218">
        <v>1239.7349999999999</v>
      </c>
      <c r="J49" s="218">
        <v>1256.4050000000002</v>
      </c>
      <c r="K49" s="218">
        <v>1207.8090000000002</v>
      </c>
      <c r="L49" s="218">
        <v>871.65</v>
      </c>
      <c r="M49" s="218">
        <v>879.79300000000001</v>
      </c>
      <c r="N49" s="218">
        <v>969.35900000000004</v>
      </c>
      <c r="O49" s="218">
        <v>1046.864</v>
      </c>
      <c r="P49" s="218">
        <v>1062.2159999999999</v>
      </c>
      <c r="R49" s="218">
        <v>480.93700000000001</v>
      </c>
      <c r="S49" s="218">
        <v>494.42999999999995</v>
      </c>
      <c r="T49" s="218">
        <v>285.39100000000002</v>
      </c>
      <c r="U49" s="218">
        <v>373.92099999999999</v>
      </c>
      <c r="V49" s="218">
        <v>435.49599999999998</v>
      </c>
      <c r="W49" s="218">
        <v>526.61700000000008</v>
      </c>
      <c r="X49" s="218">
        <v>573.69899999999996</v>
      </c>
      <c r="Y49" s="218">
        <v>570.5200000000001</v>
      </c>
      <c r="Z49" s="218">
        <v>605.20100000000002</v>
      </c>
      <c r="AA49" s="218">
        <v>634.53399999999988</v>
      </c>
      <c r="AB49" s="218">
        <v>638.18299999999999</v>
      </c>
      <c r="AC49" s="218">
        <v>618.22200000000021</v>
      </c>
      <c r="AD49" s="218">
        <v>609.92899999999997</v>
      </c>
      <c r="AE49" s="218">
        <v>597.88000000000022</v>
      </c>
      <c r="AF49" s="218">
        <v>429.09800000000001</v>
      </c>
      <c r="AG49" s="218">
        <v>442.55199999999996</v>
      </c>
      <c r="AH49" s="218">
        <v>426.32600000000002</v>
      </c>
      <c r="AI49" s="218">
        <v>453.46699999999998</v>
      </c>
      <c r="AJ49" s="218">
        <v>476.13099999999997</v>
      </c>
      <c r="AK49" s="218">
        <v>493.22800000000007</v>
      </c>
      <c r="AL49" s="218">
        <v>541.447</v>
      </c>
      <c r="AM49" s="218">
        <v>505.41700000000003</v>
      </c>
      <c r="AN49" s="218">
        <v>546.06899999999996</v>
      </c>
      <c r="AO49" s="218">
        <f t="shared" ref="AO49:AO54" si="35">P49-AN49</f>
        <v>516.14699999999993</v>
      </c>
      <c r="AP49" s="218">
        <v>499.24799999999999</v>
      </c>
    </row>
    <row r="50" spans="2:43">
      <c r="B50" s="472"/>
      <c r="D50" s="36" t="s">
        <v>171</v>
      </c>
      <c r="E50" s="91">
        <v>1083.0650000000001</v>
      </c>
      <c r="F50" s="91">
        <v>706.27499999999998</v>
      </c>
      <c r="G50" s="91">
        <v>1080.4000000000001</v>
      </c>
      <c r="H50" s="91">
        <v>1302.3969999999999</v>
      </c>
      <c r="I50" s="91">
        <v>1425.7380000000001</v>
      </c>
      <c r="J50" s="91">
        <v>1418.6030000000003</v>
      </c>
      <c r="K50" s="91">
        <v>1369.3970000000002</v>
      </c>
      <c r="L50" s="91">
        <v>960.75699999999995</v>
      </c>
      <c r="M50" s="91">
        <v>972.51700000000005</v>
      </c>
      <c r="N50" s="91">
        <v>1088.431</v>
      </c>
      <c r="O50" s="91">
        <v>1181.819</v>
      </c>
      <c r="P50" s="91">
        <v>1221.4829999999999</v>
      </c>
      <c r="R50" s="133">
        <v>539.00099999999998</v>
      </c>
      <c r="S50" s="133">
        <v>544.06400000000008</v>
      </c>
      <c r="T50" s="133">
        <v>304.60399999999998</v>
      </c>
      <c r="U50" s="133">
        <v>401.67099999999999</v>
      </c>
      <c r="V50" s="133">
        <v>480.44099999999997</v>
      </c>
      <c r="W50" s="133">
        <v>599.95900000000006</v>
      </c>
      <c r="X50" s="133">
        <v>654.60799999999995</v>
      </c>
      <c r="Y50" s="133">
        <v>647.78899999999999</v>
      </c>
      <c r="Z50" s="133">
        <v>696.63800000000003</v>
      </c>
      <c r="AA50" s="133">
        <v>729.1</v>
      </c>
      <c r="AB50" s="133">
        <v>715.19299999999998</v>
      </c>
      <c r="AC50" s="133">
        <v>703.41000000000031</v>
      </c>
      <c r="AD50" s="133">
        <v>700.21799999999996</v>
      </c>
      <c r="AE50" s="133">
        <v>669.1790000000002</v>
      </c>
      <c r="AF50" s="133">
        <v>465.2</v>
      </c>
      <c r="AG50" s="133">
        <v>495.55699999999996</v>
      </c>
      <c r="AH50" s="133">
        <v>470.42099999999999</v>
      </c>
      <c r="AI50" s="133">
        <v>502.09600000000006</v>
      </c>
      <c r="AJ50" s="133">
        <v>537.33600000000001</v>
      </c>
      <c r="AK50" s="133">
        <v>551.09500000000003</v>
      </c>
      <c r="AL50" s="133">
        <v>604.048</v>
      </c>
      <c r="AM50" s="133">
        <v>577.77099999999996</v>
      </c>
      <c r="AN50" s="133">
        <v>631.05700000000002</v>
      </c>
      <c r="AO50" s="133">
        <f t="shared" si="35"/>
        <v>590.42599999999993</v>
      </c>
      <c r="AP50" s="133">
        <v>555.66700000000003</v>
      </c>
    </row>
    <row r="51" spans="2:43">
      <c r="B51" s="472"/>
      <c r="D51" s="36" t="s">
        <v>172</v>
      </c>
      <c r="E51" s="91">
        <v>3.9259999999999309</v>
      </c>
      <c r="F51" s="91">
        <v>1.92</v>
      </c>
      <c r="G51" s="91">
        <v>0.92900000000000005</v>
      </c>
      <c r="H51" s="91">
        <v>16.68</v>
      </c>
      <c r="I51" s="91">
        <v>5.1879999999999997</v>
      </c>
      <c r="J51" s="91">
        <v>7.4889999999999999</v>
      </c>
      <c r="K51" s="91">
        <v>3.919</v>
      </c>
      <c r="L51" s="91">
        <v>3.0139999999999998</v>
      </c>
      <c r="M51" s="91">
        <v>4.3689999999999998</v>
      </c>
      <c r="N51" s="91">
        <v>1.845</v>
      </c>
      <c r="O51" s="91">
        <v>1.776</v>
      </c>
      <c r="P51" s="91">
        <v>1.1910000000000001</v>
      </c>
      <c r="R51" s="91">
        <v>1.8109999999999999</v>
      </c>
      <c r="S51" s="91">
        <v>2.1149999999999309</v>
      </c>
      <c r="T51" s="91">
        <v>0.96699999999999997</v>
      </c>
      <c r="U51" s="91">
        <v>0.95299999999999996</v>
      </c>
      <c r="V51" s="91">
        <v>0.44800000000000001</v>
      </c>
      <c r="W51" s="91">
        <v>0.48100000000000004</v>
      </c>
      <c r="X51" s="91">
        <v>1.3939999999999999</v>
      </c>
      <c r="Y51" s="91">
        <v>15.286</v>
      </c>
      <c r="Z51" s="91">
        <v>1.6579999999999999</v>
      </c>
      <c r="AA51" s="91">
        <v>3.53</v>
      </c>
      <c r="AB51" s="91">
        <v>2.2280000000000002</v>
      </c>
      <c r="AC51" s="91">
        <v>5.2609999999999992</v>
      </c>
      <c r="AD51" s="91">
        <v>1.107</v>
      </c>
      <c r="AE51" s="91">
        <v>2.8120000000000003</v>
      </c>
      <c r="AF51" s="91">
        <v>1.125</v>
      </c>
      <c r="AG51" s="91">
        <v>1.8889999999999998</v>
      </c>
      <c r="AH51" s="91">
        <v>1.8089999999999999</v>
      </c>
      <c r="AI51" s="91">
        <v>2.5599999999999996</v>
      </c>
      <c r="AJ51" s="91">
        <v>0.34499999999999997</v>
      </c>
      <c r="AK51" s="91">
        <v>1.5</v>
      </c>
      <c r="AL51" s="91">
        <v>0.21199999999999999</v>
      </c>
      <c r="AM51" s="91">
        <v>1.5640000000000001</v>
      </c>
      <c r="AN51" s="91">
        <v>1.4999999999999999E-2</v>
      </c>
      <c r="AO51" s="91">
        <f t="shared" si="35"/>
        <v>1.1760000000000002</v>
      </c>
      <c r="AP51" s="91">
        <v>0.13500000000000001</v>
      </c>
    </row>
    <row r="52" spans="2:43">
      <c r="B52" s="472"/>
      <c r="D52" s="36" t="s">
        <v>173</v>
      </c>
      <c r="E52" s="91">
        <v>242.583</v>
      </c>
      <c r="F52" s="91">
        <v>153.77099999999999</v>
      </c>
      <c r="G52" s="391">
        <v>221.047</v>
      </c>
      <c r="H52" s="91">
        <v>327.19200000000001</v>
      </c>
      <c r="I52" s="91">
        <v>329.654</v>
      </c>
      <c r="J52" s="91">
        <v>369.233</v>
      </c>
      <c r="K52" s="91">
        <v>367.14100000000002</v>
      </c>
      <c r="L52" s="91">
        <v>271.74900000000002</v>
      </c>
      <c r="M52" s="91">
        <v>262.96199999999999</v>
      </c>
      <c r="N52" s="91">
        <v>328.40699999999998</v>
      </c>
      <c r="O52" s="91">
        <v>339.04599999999999</v>
      </c>
      <c r="P52" s="91">
        <v>334.99299999999999</v>
      </c>
      <c r="R52" s="91">
        <v>122.089</v>
      </c>
      <c r="S52" s="91">
        <v>120.494</v>
      </c>
      <c r="T52" s="91">
        <v>74.188999999999993</v>
      </c>
      <c r="U52" s="91">
        <v>79.581999999999994</v>
      </c>
      <c r="V52" s="91">
        <v>105.741</v>
      </c>
      <c r="W52" s="91">
        <v>115.306</v>
      </c>
      <c r="X52" s="91">
        <v>171.839</v>
      </c>
      <c r="Y52" s="91">
        <v>155.35300000000001</v>
      </c>
      <c r="Z52" s="91">
        <v>173.32</v>
      </c>
      <c r="AA52" s="91">
        <v>156.334</v>
      </c>
      <c r="AB52" s="91">
        <v>195.65199999999999</v>
      </c>
      <c r="AC52" s="91">
        <v>173.58100000000002</v>
      </c>
      <c r="AD52" s="91">
        <v>199.84100000000001</v>
      </c>
      <c r="AE52" s="91">
        <v>167.3</v>
      </c>
      <c r="AF52" s="91">
        <v>151.67500000000001</v>
      </c>
      <c r="AG52" s="91">
        <v>120.07400000000001</v>
      </c>
      <c r="AH52" s="91">
        <v>138.90199999999999</v>
      </c>
      <c r="AI52" s="91">
        <v>124.06</v>
      </c>
      <c r="AJ52" s="91">
        <v>176.28100000000001</v>
      </c>
      <c r="AK52" s="91">
        <v>152.12599999999998</v>
      </c>
      <c r="AL52" s="91">
        <v>190.126</v>
      </c>
      <c r="AM52" s="91">
        <v>148.91999999999999</v>
      </c>
      <c r="AN52" s="91">
        <v>175.786</v>
      </c>
      <c r="AO52" s="91">
        <f t="shared" si="35"/>
        <v>159.20699999999999</v>
      </c>
      <c r="AP52" s="91">
        <v>174.25399999999999</v>
      </c>
    </row>
    <row r="53" spans="2:43">
      <c r="B53" s="472"/>
      <c r="D53" s="36" t="s">
        <v>174</v>
      </c>
      <c r="E53" s="91">
        <v>358.041</v>
      </c>
      <c r="F53" s="91">
        <v>179.64500000000001</v>
      </c>
      <c r="G53" s="91">
        <v>299.00099999999998</v>
      </c>
      <c r="H53" s="91">
        <v>380.233</v>
      </c>
      <c r="I53" s="91">
        <v>448.601</v>
      </c>
      <c r="J53" s="91">
        <v>523.351</v>
      </c>
      <c r="K53" s="91">
        <v>536.93799999999999</v>
      </c>
      <c r="L53" s="91">
        <v>335.13</v>
      </c>
      <c r="M53" s="91">
        <v>331.625</v>
      </c>
      <c r="N53" s="91">
        <v>453.86</v>
      </c>
      <c r="O53" s="91">
        <v>494.23200000000003</v>
      </c>
      <c r="P53" s="91">
        <v>538.25599999999997</v>
      </c>
      <c r="R53" s="91">
        <v>186.67400000000001</v>
      </c>
      <c r="S53" s="91">
        <v>171.36699999999999</v>
      </c>
      <c r="T53" s="91">
        <v>76.304000000000002</v>
      </c>
      <c r="U53" s="91">
        <v>103.34100000000001</v>
      </c>
      <c r="V53" s="91">
        <v>125.73</v>
      </c>
      <c r="W53" s="91">
        <v>173.27099999999996</v>
      </c>
      <c r="X53" s="91">
        <v>178.82599999999999</v>
      </c>
      <c r="Y53" s="91">
        <v>201.40700000000001</v>
      </c>
      <c r="Z53" s="91">
        <v>208.023</v>
      </c>
      <c r="AA53" s="91">
        <v>240.578</v>
      </c>
      <c r="AB53" s="91">
        <v>246.76499999999999</v>
      </c>
      <c r="AC53" s="91">
        <v>276.58600000000001</v>
      </c>
      <c r="AD53" s="91">
        <v>266.495</v>
      </c>
      <c r="AE53" s="91">
        <v>270.44299999999998</v>
      </c>
      <c r="AF53" s="91">
        <v>166.10900000000001</v>
      </c>
      <c r="AG53" s="91">
        <v>169.02099999999999</v>
      </c>
      <c r="AH53" s="91">
        <v>147.81800000000001</v>
      </c>
      <c r="AI53" s="91">
        <v>183.80699999999999</v>
      </c>
      <c r="AJ53" s="91">
        <v>210.614</v>
      </c>
      <c r="AK53" s="91">
        <v>243.24600000000001</v>
      </c>
      <c r="AL53" s="91">
        <v>240.697</v>
      </c>
      <c r="AM53" s="91">
        <v>263.75099999999998</v>
      </c>
      <c r="AN53" s="91">
        <v>251.976</v>
      </c>
      <c r="AO53" s="91">
        <f t="shared" si="35"/>
        <v>286.27999999999997</v>
      </c>
      <c r="AP53" s="91">
        <v>259.2</v>
      </c>
    </row>
    <row r="54" spans="2:43">
      <c r="B54" s="472"/>
      <c r="D54" s="116" t="s">
        <v>175</v>
      </c>
      <c r="E54" s="142">
        <f t="shared" ref="E54:N54" si="36">SUM(E50:E53)</f>
        <v>1687.615</v>
      </c>
      <c r="F54" s="142">
        <f t="shared" si="36"/>
        <v>1041.6109999999999</v>
      </c>
      <c r="G54" s="142">
        <f t="shared" si="36"/>
        <v>1601.3770000000002</v>
      </c>
      <c r="H54" s="142">
        <f t="shared" si="36"/>
        <v>2026.502</v>
      </c>
      <c r="I54" s="142">
        <f t="shared" si="36"/>
        <v>2209.181</v>
      </c>
      <c r="J54" s="142">
        <f t="shared" si="36"/>
        <v>2318.6760000000004</v>
      </c>
      <c r="K54" s="142">
        <f t="shared" si="36"/>
        <v>2277.3950000000004</v>
      </c>
      <c r="L54" s="142">
        <f t="shared" si="36"/>
        <v>1570.65</v>
      </c>
      <c r="M54" s="142">
        <f t="shared" si="36"/>
        <v>1571.473</v>
      </c>
      <c r="N54" s="142">
        <f t="shared" si="36"/>
        <v>1872.5430000000001</v>
      </c>
      <c r="O54" s="142">
        <f>SUM(O50:O53)</f>
        <v>2016.873</v>
      </c>
      <c r="P54" s="142">
        <v>2095.9229999999998</v>
      </c>
      <c r="Q54" s="82"/>
      <c r="R54" s="142">
        <f t="shared" ref="R54:AM54" si="37">SUM(R50:R53)</f>
        <v>849.57500000000005</v>
      </c>
      <c r="S54" s="142">
        <f t="shared" si="37"/>
        <v>838.04</v>
      </c>
      <c r="T54" s="142">
        <f t="shared" si="37"/>
        <v>456.06399999999996</v>
      </c>
      <c r="U54" s="142">
        <f t="shared" si="37"/>
        <v>585.54700000000003</v>
      </c>
      <c r="V54" s="142">
        <f t="shared" si="37"/>
        <v>712.36</v>
      </c>
      <c r="W54" s="142">
        <f t="shared" si="37"/>
        <v>889.01700000000005</v>
      </c>
      <c r="X54" s="142">
        <f t="shared" si="37"/>
        <v>1006.6669999999999</v>
      </c>
      <c r="Y54" s="142">
        <f t="shared" si="37"/>
        <v>1019.8349999999999</v>
      </c>
      <c r="Z54" s="142">
        <f t="shared" si="37"/>
        <v>1079.6389999999999</v>
      </c>
      <c r="AA54" s="142">
        <f t="shared" si="37"/>
        <v>1129.5419999999999</v>
      </c>
      <c r="AB54" s="142">
        <f t="shared" si="37"/>
        <v>1159.8379999999997</v>
      </c>
      <c r="AC54" s="142">
        <f t="shared" si="37"/>
        <v>1158.8380000000002</v>
      </c>
      <c r="AD54" s="142">
        <f t="shared" si="37"/>
        <v>1167.6610000000001</v>
      </c>
      <c r="AE54" s="142">
        <f t="shared" si="37"/>
        <v>1109.7340000000002</v>
      </c>
      <c r="AF54" s="142">
        <f t="shared" si="37"/>
        <v>784.10900000000004</v>
      </c>
      <c r="AG54" s="142">
        <f t="shared" si="37"/>
        <v>786.54099999999994</v>
      </c>
      <c r="AH54" s="142">
        <f t="shared" si="37"/>
        <v>758.95</v>
      </c>
      <c r="AI54" s="142">
        <f t="shared" si="37"/>
        <v>812.52300000000014</v>
      </c>
      <c r="AJ54" s="142">
        <f t="shared" si="37"/>
        <v>924.57600000000002</v>
      </c>
      <c r="AK54" s="142">
        <f t="shared" si="37"/>
        <v>947.96699999999998</v>
      </c>
      <c r="AL54" s="142">
        <f t="shared" si="37"/>
        <v>1035.0830000000001</v>
      </c>
      <c r="AM54" s="142">
        <f t="shared" si="37"/>
        <v>992.00599999999986</v>
      </c>
      <c r="AN54" s="142">
        <f>SUM(AN50:AN53)</f>
        <v>1058.8339999999998</v>
      </c>
      <c r="AO54" s="142">
        <f t="shared" si="35"/>
        <v>1037.0889999999999</v>
      </c>
      <c r="AP54" s="142">
        <v>989.25599999999997</v>
      </c>
      <c r="AQ54" s="83"/>
    </row>
    <row r="55" spans="2:43">
      <c r="B55" s="472"/>
      <c r="D55" s="36"/>
      <c r="E55" s="91"/>
      <c r="F55" s="91"/>
      <c r="G55" s="91"/>
      <c r="H55" s="91"/>
      <c r="I55" s="91"/>
      <c r="J55" s="91"/>
      <c r="K55" s="91"/>
      <c r="L55" s="91"/>
      <c r="M55" s="91"/>
      <c r="N55" s="91"/>
      <c r="O55" s="91"/>
      <c r="P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row>
    <row r="56" spans="2:43">
      <c r="B56" s="472"/>
      <c r="D56" s="116" t="s">
        <v>746</v>
      </c>
      <c r="E56" s="138"/>
      <c r="F56" s="138"/>
      <c r="G56" s="138"/>
      <c r="H56" s="138"/>
      <c r="I56" s="138"/>
      <c r="J56" s="138"/>
      <c r="K56" s="138"/>
      <c r="L56" s="138"/>
      <c r="M56" s="138"/>
      <c r="N56" s="138"/>
      <c r="O56" s="138"/>
      <c r="P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row>
    <row r="57" spans="2:43">
      <c r="B57" s="472"/>
      <c r="D57" s="36" t="s">
        <v>633</v>
      </c>
      <c r="E57" s="91">
        <v>3.1549999999999998</v>
      </c>
      <c r="F57" s="91">
        <v>10.239000000000001</v>
      </c>
      <c r="G57" s="91">
        <v>19.042999999999999</v>
      </c>
      <c r="H57" s="91">
        <v>26.643999999999998</v>
      </c>
      <c r="I57" s="91">
        <v>19.498999999999999</v>
      </c>
      <c r="J57" s="91">
        <v>20.158000000000001</v>
      </c>
      <c r="K57" s="91">
        <v>7.2450000000000001</v>
      </c>
      <c r="L57" s="91">
        <v>30.954000000000001</v>
      </c>
      <c r="M57" s="91">
        <v>57.243000000000002</v>
      </c>
      <c r="N57" s="91">
        <v>36.871000000000002</v>
      </c>
      <c r="O57" s="91">
        <v>59.500999999999998</v>
      </c>
      <c r="P57" s="91">
        <v>92.668000000000006</v>
      </c>
      <c r="R57" s="91">
        <v>2.121</v>
      </c>
      <c r="S57" s="91">
        <v>1.0339999999999998</v>
      </c>
      <c r="T57" s="91">
        <v>5.5860000000000003</v>
      </c>
      <c r="U57" s="91">
        <v>4.6530000000000005</v>
      </c>
      <c r="V57" s="91">
        <v>9.2959999999999994</v>
      </c>
      <c r="W57" s="91">
        <v>9.7469999999999999</v>
      </c>
      <c r="X57" s="91">
        <v>22.428000000000001</v>
      </c>
      <c r="Y57" s="91">
        <v>4.2159999999999975</v>
      </c>
      <c r="Z57" s="91">
        <v>2.8639999999999999</v>
      </c>
      <c r="AA57" s="91">
        <v>16.634999999999998</v>
      </c>
      <c r="AB57" s="91">
        <v>2.149</v>
      </c>
      <c r="AC57" s="91">
        <v>18.009</v>
      </c>
      <c r="AD57" s="91">
        <v>2.8260000000000001</v>
      </c>
      <c r="AE57" s="91">
        <v>4.4190000000000005</v>
      </c>
      <c r="AF57" s="91">
        <v>15.135999999999999</v>
      </c>
      <c r="AG57" s="91">
        <v>15.818000000000001</v>
      </c>
      <c r="AH57" s="91">
        <v>43.366</v>
      </c>
      <c r="AI57" s="91">
        <v>13.877000000000002</v>
      </c>
      <c r="AJ57" s="91">
        <v>23.916</v>
      </c>
      <c r="AK57" s="91">
        <v>12.955000000000002</v>
      </c>
      <c r="AL57" s="91">
        <v>27.766999999999999</v>
      </c>
      <c r="AM57" s="91">
        <v>31.733999999999998</v>
      </c>
      <c r="AN57" s="91">
        <v>49.335999999999999</v>
      </c>
      <c r="AO57" s="91">
        <f>P57-AN57</f>
        <v>43.332000000000008</v>
      </c>
      <c r="AP57" s="91">
        <v>57.829000000000001</v>
      </c>
    </row>
    <row r="58" spans="2:43">
      <c r="B58" s="472"/>
      <c r="D58" s="140" t="s">
        <v>170</v>
      </c>
      <c r="E58" s="218">
        <v>3.1549999999999998</v>
      </c>
      <c r="F58" s="218">
        <v>10.239000000000001</v>
      </c>
      <c r="G58" s="218">
        <v>19.042999999999999</v>
      </c>
      <c r="H58" s="218">
        <v>26.643999999999998</v>
      </c>
      <c r="I58" s="218">
        <v>19.498999999999999</v>
      </c>
      <c r="J58" s="218">
        <v>20.406000000000002</v>
      </c>
      <c r="K58" s="218">
        <v>7.7650000000000006</v>
      </c>
      <c r="L58" s="218">
        <v>35.107999999999997</v>
      </c>
      <c r="M58" s="218">
        <v>57.920999999999999</v>
      </c>
      <c r="N58" s="218">
        <v>36.872999999999998</v>
      </c>
      <c r="O58" s="218">
        <v>59.500999999999998</v>
      </c>
      <c r="P58" s="218">
        <v>92.668000000000006</v>
      </c>
      <c r="R58" s="218">
        <v>2.121</v>
      </c>
      <c r="S58" s="218">
        <v>1.0339999999999998</v>
      </c>
      <c r="T58" s="218">
        <v>5.5860000000000003</v>
      </c>
      <c r="U58" s="218">
        <v>4.6530000000000005</v>
      </c>
      <c r="V58" s="218">
        <v>9.2959999999999994</v>
      </c>
      <c r="W58" s="218">
        <v>9.7469999999999999</v>
      </c>
      <c r="X58" s="218">
        <v>22.428000000000001</v>
      </c>
      <c r="Y58" s="218">
        <v>4.2159999999999975</v>
      </c>
      <c r="Z58" s="218">
        <v>2.8639999999999999</v>
      </c>
      <c r="AA58" s="218">
        <v>16.634999999999998</v>
      </c>
      <c r="AB58" s="218">
        <v>2.1509999999999998</v>
      </c>
      <c r="AC58" s="218">
        <v>18.255000000000003</v>
      </c>
      <c r="AD58" s="218">
        <v>2.8260000000000001</v>
      </c>
      <c r="AE58" s="218">
        <v>4.9390000000000001</v>
      </c>
      <c r="AF58" s="218">
        <v>15.574999999999999</v>
      </c>
      <c r="AG58" s="218">
        <v>19.532999999999998</v>
      </c>
      <c r="AH58" s="218">
        <v>43.405999999999999</v>
      </c>
      <c r="AI58" s="218">
        <v>14.515000000000001</v>
      </c>
      <c r="AJ58" s="218">
        <v>23.917999999999999</v>
      </c>
      <c r="AK58" s="218">
        <v>12.954999999999998</v>
      </c>
      <c r="AL58" s="218">
        <v>27.766999999999999</v>
      </c>
      <c r="AM58" s="218">
        <v>31.733999999999998</v>
      </c>
      <c r="AN58" s="218">
        <v>49.335999999999999</v>
      </c>
      <c r="AO58" s="218">
        <f t="shared" ref="AO58:AO63" si="38">P58-AN58</f>
        <v>43.332000000000008</v>
      </c>
      <c r="AP58" s="218">
        <v>59.829000000000001</v>
      </c>
    </row>
    <row r="59" spans="2:43">
      <c r="B59" s="472"/>
      <c r="D59" s="36" t="s">
        <v>171</v>
      </c>
      <c r="E59" s="91">
        <v>3.4469999999999996</v>
      </c>
      <c r="F59" s="91">
        <v>10.331</v>
      </c>
      <c r="G59" s="91">
        <v>19.213999999999999</v>
      </c>
      <c r="H59" s="91">
        <v>27.321000000000002</v>
      </c>
      <c r="I59" s="91">
        <v>19.731999999999999</v>
      </c>
      <c r="J59" s="91">
        <v>20.448000000000004</v>
      </c>
      <c r="K59" s="91">
        <v>7.8280000000000003</v>
      </c>
      <c r="L59" s="91">
        <v>37.631999999999998</v>
      </c>
      <c r="M59" s="91">
        <v>58.320999999999998</v>
      </c>
      <c r="N59" s="91">
        <v>37.057000000000002</v>
      </c>
      <c r="O59" s="91">
        <v>63.281999999999996</v>
      </c>
      <c r="P59" s="91">
        <v>92.756</v>
      </c>
      <c r="R59" s="133">
        <v>2.363</v>
      </c>
      <c r="S59" s="133">
        <v>1.0839999999999996</v>
      </c>
      <c r="T59" s="133">
        <v>5.6669999999999998</v>
      </c>
      <c r="U59" s="133">
        <v>4.6639999999999997</v>
      </c>
      <c r="V59" s="133">
        <v>9.298</v>
      </c>
      <c r="W59" s="133">
        <v>9.9159999999999986</v>
      </c>
      <c r="X59" s="133">
        <v>22.881</v>
      </c>
      <c r="Y59" s="133">
        <v>4.4400000000000013</v>
      </c>
      <c r="Z59" s="133">
        <v>2.952</v>
      </c>
      <c r="AA59" s="133">
        <v>16.78</v>
      </c>
      <c r="AB59" s="133">
        <v>2.17</v>
      </c>
      <c r="AC59" s="133">
        <v>18.278000000000006</v>
      </c>
      <c r="AD59" s="133">
        <v>2.8410000000000002</v>
      </c>
      <c r="AE59" s="133">
        <v>4.9870000000000001</v>
      </c>
      <c r="AF59" s="133">
        <v>15.632</v>
      </c>
      <c r="AG59" s="133">
        <v>22</v>
      </c>
      <c r="AH59" s="133">
        <v>43.436</v>
      </c>
      <c r="AI59" s="133">
        <v>14.884999999999998</v>
      </c>
      <c r="AJ59" s="133">
        <v>24.061</v>
      </c>
      <c r="AK59" s="133">
        <v>12.996000000000002</v>
      </c>
      <c r="AL59" s="133">
        <v>27.785</v>
      </c>
      <c r="AM59" s="133">
        <v>35.497</v>
      </c>
      <c r="AN59" s="133">
        <v>49.386000000000003</v>
      </c>
      <c r="AO59" s="133">
        <f t="shared" si="38"/>
        <v>43.37</v>
      </c>
      <c r="AP59" s="133">
        <v>60.223999999999997</v>
      </c>
    </row>
    <row r="60" spans="2:43">
      <c r="B60" s="472"/>
      <c r="D60" s="36" t="s">
        <v>172</v>
      </c>
      <c r="E60" s="91">
        <v>0.17400000000000038</v>
      </c>
      <c r="F60" s="91">
        <v>9.2999999999999999E-2</v>
      </c>
      <c r="G60" s="91">
        <v>1.6060000000000001</v>
      </c>
      <c r="H60" s="91">
        <v>1.964</v>
      </c>
      <c r="I60" s="91">
        <v>2.1629999999999998</v>
      </c>
      <c r="J60" s="91">
        <v>1.5309999999999999</v>
      </c>
      <c r="K60" s="91">
        <v>4.9189999999999996</v>
      </c>
      <c r="L60" s="91">
        <v>1.42</v>
      </c>
      <c r="M60" s="91">
        <v>0.41199999999999998</v>
      </c>
      <c r="N60" s="91">
        <v>0.28499999999999998</v>
      </c>
      <c r="O60" s="91">
        <v>0.77600000000000002</v>
      </c>
      <c r="P60" s="91">
        <v>1.319</v>
      </c>
      <c r="R60" s="91">
        <v>0.13900000000000001</v>
      </c>
      <c r="S60" s="91">
        <v>3.5000000000000364E-2</v>
      </c>
      <c r="T60" s="91">
        <v>7.0999999999999994E-2</v>
      </c>
      <c r="U60" s="91">
        <v>2.2000000000000006E-2</v>
      </c>
      <c r="V60" s="91">
        <v>0.47399999999999998</v>
      </c>
      <c r="W60" s="91">
        <v>1.1320000000000001</v>
      </c>
      <c r="X60" s="91">
        <v>0.98499999999999999</v>
      </c>
      <c r="Y60" s="91">
        <v>0.97899999999999998</v>
      </c>
      <c r="Z60" s="91">
        <v>1.3879999999999999</v>
      </c>
      <c r="AA60" s="91">
        <v>0.77499999999999991</v>
      </c>
      <c r="AB60" s="91">
        <v>0.68</v>
      </c>
      <c r="AC60" s="91">
        <v>0.85099999999999987</v>
      </c>
      <c r="AD60" s="91">
        <v>2.2189999999999999</v>
      </c>
      <c r="AE60" s="91">
        <v>2.6999999999999997</v>
      </c>
      <c r="AF60" s="91">
        <v>0.85099999999999998</v>
      </c>
      <c r="AG60" s="91">
        <v>0.56899999999999995</v>
      </c>
      <c r="AH60" s="91">
        <v>0.31900000000000001</v>
      </c>
      <c r="AI60" s="91">
        <v>9.2999999999999972E-2</v>
      </c>
      <c r="AJ60" s="91">
        <v>1.6E-2</v>
      </c>
      <c r="AK60" s="91">
        <v>0.26899999999999996</v>
      </c>
      <c r="AL60" s="91">
        <v>0.67200000000000004</v>
      </c>
      <c r="AM60" s="91">
        <v>0.10399999999999998</v>
      </c>
      <c r="AN60" s="91">
        <v>0.68400000000000005</v>
      </c>
      <c r="AO60" s="91">
        <f t="shared" si="38"/>
        <v>0.6349999999999999</v>
      </c>
      <c r="AP60" s="91">
        <v>0.82</v>
      </c>
    </row>
    <row r="61" spans="2:43">
      <c r="B61" s="472"/>
      <c r="D61" s="36" t="s">
        <v>173</v>
      </c>
      <c r="E61" s="91">
        <v>6.4829999999999997</v>
      </c>
      <c r="F61" s="91">
        <v>6.11</v>
      </c>
      <c r="G61" s="391">
        <v>13.430999999999999</v>
      </c>
      <c r="H61" s="91">
        <v>9.7059999999999995</v>
      </c>
      <c r="I61" s="91">
        <v>9.2750000000000004</v>
      </c>
      <c r="J61" s="91">
        <v>7.8470000000000004</v>
      </c>
      <c r="K61" s="91">
        <v>2.907</v>
      </c>
      <c r="L61" s="91">
        <v>23.271000000000001</v>
      </c>
      <c r="M61" s="91">
        <v>40.173999999999999</v>
      </c>
      <c r="N61" s="91">
        <v>33.978000000000002</v>
      </c>
      <c r="O61" s="91">
        <v>38.203000000000003</v>
      </c>
      <c r="P61" s="91">
        <v>48.100999999999999</v>
      </c>
      <c r="R61" s="91">
        <v>5.4370000000000003</v>
      </c>
      <c r="S61" s="91">
        <v>1.0459999999999994</v>
      </c>
      <c r="T61" s="91">
        <v>2.851</v>
      </c>
      <c r="U61" s="91">
        <v>3.2590000000000003</v>
      </c>
      <c r="V61" s="91">
        <v>9.6389999999999993</v>
      </c>
      <c r="W61" s="91">
        <v>3.7919999999999998</v>
      </c>
      <c r="X61" s="91">
        <v>5.8730000000000002</v>
      </c>
      <c r="Y61" s="91">
        <v>3.8329999999999993</v>
      </c>
      <c r="Z61" s="91">
        <v>4.391</v>
      </c>
      <c r="AA61" s="91">
        <v>4.8840000000000003</v>
      </c>
      <c r="AB61" s="91">
        <v>5.0640000000000001</v>
      </c>
      <c r="AC61" s="91">
        <v>2.7830000000000004</v>
      </c>
      <c r="AD61" s="91">
        <v>2.0049999999999999</v>
      </c>
      <c r="AE61" s="91">
        <v>0.90200000000000014</v>
      </c>
      <c r="AF61" s="91">
        <v>10.773999999999999</v>
      </c>
      <c r="AG61" s="91">
        <v>12.497000000000002</v>
      </c>
      <c r="AH61" s="91">
        <v>26.76</v>
      </c>
      <c r="AI61" s="91">
        <v>13.413999999999998</v>
      </c>
      <c r="AJ61" s="91">
        <v>18.262</v>
      </c>
      <c r="AK61" s="91">
        <v>15.716000000000001</v>
      </c>
      <c r="AL61" s="91">
        <v>19.439</v>
      </c>
      <c r="AM61" s="91">
        <v>18.764000000000003</v>
      </c>
      <c r="AN61" s="91">
        <v>23.125</v>
      </c>
      <c r="AO61" s="91">
        <f t="shared" si="38"/>
        <v>24.975999999999999</v>
      </c>
      <c r="AP61" s="91">
        <v>27.646999999999998</v>
      </c>
    </row>
    <row r="62" spans="2:43">
      <c r="B62" s="472"/>
      <c r="D62" s="36" t="s">
        <v>174</v>
      </c>
      <c r="E62" s="91">
        <v>3.9420000000000002</v>
      </c>
      <c r="F62" s="91">
        <v>0.84799999999999998</v>
      </c>
      <c r="G62" s="91">
        <v>0.96799999999999997</v>
      </c>
      <c r="H62" s="91">
        <v>3.0139999999999998</v>
      </c>
      <c r="I62" s="91">
        <v>2.028</v>
      </c>
      <c r="J62" s="91">
        <v>1.875</v>
      </c>
      <c r="K62" s="91">
        <v>1.794</v>
      </c>
      <c r="L62" s="91">
        <v>8.2650000000000006</v>
      </c>
      <c r="M62" s="91">
        <v>4.1239999999999997</v>
      </c>
      <c r="N62" s="91">
        <v>5.8869999999999996</v>
      </c>
      <c r="O62" s="91">
        <v>7.95</v>
      </c>
      <c r="P62" s="91">
        <v>6.7119999999999997</v>
      </c>
      <c r="R62" s="91">
        <v>2.109</v>
      </c>
      <c r="S62" s="91">
        <v>1.8330000000000002</v>
      </c>
      <c r="T62" s="91">
        <v>0.52100000000000002</v>
      </c>
      <c r="U62" s="91">
        <v>0.32699999999999996</v>
      </c>
      <c r="V62" s="91">
        <v>0.434</v>
      </c>
      <c r="W62" s="91">
        <v>0.53400000000000003</v>
      </c>
      <c r="X62" s="91">
        <v>0.42199999999999999</v>
      </c>
      <c r="Y62" s="91">
        <v>2.5919999999999996</v>
      </c>
      <c r="Z62" s="91">
        <v>0.86799999999999999</v>
      </c>
      <c r="AA62" s="91">
        <v>1.1600000000000001</v>
      </c>
      <c r="AB62" s="91">
        <v>1.456</v>
      </c>
      <c r="AC62" s="91">
        <v>0.41900000000000004</v>
      </c>
      <c r="AD62" s="91">
        <v>0.46700000000000003</v>
      </c>
      <c r="AE62" s="91">
        <v>1.327</v>
      </c>
      <c r="AF62" s="91">
        <v>6.9279999999999999</v>
      </c>
      <c r="AG62" s="91">
        <v>1.3370000000000006</v>
      </c>
      <c r="AH62" s="91">
        <v>0.95899999999999996</v>
      </c>
      <c r="AI62" s="91">
        <v>3.1649999999999996</v>
      </c>
      <c r="AJ62" s="91">
        <v>2.8079999999999998</v>
      </c>
      <c r="AK62" s="91">
        <v>3.0789999999999997</v>
      </c>
      <c r="AL62" s="91">
        <v>2.0979999999999999</v>
      </c>
      <c r="AM62" s="91">
        <v>5.8520000000000003</v>
      </c>
      <c r="AN62" s="91">
        <v>2.2080000000000002</v>
      </c>
      <c r="AO62" s="91">
        <f t="shared" si="38"/>
        <v>4.5039999999999996</v>
      </c>
      <c r="AP62" s="91">
        <v>2.1309999999999998</v>
      </c>
    </row>
    <row r="63" spans="2:43">
      <c r="B63" s="472"/>
      <c r="D63" s="116" t="s">
        <v>175</v>
      </c>
      <c r="E63" s="142">
        <f t="shared" ref="E63:N63" si="39">SUM(E59:E62)</f>
        <v>14.045999999999999</v>
      </c>
      <c r="F63" s="142">
        <f t="shared" si="39"/>
        <v>17.381999999999998</v>
      </c>
      <c r="G63" s="142">
        <f t="shared" si="39"/>
        <v>35.218999999999994</v>
      </c>
      <c r="H63" s="142">
        <f t="shared" si="39"/>
        <v>42.005000000000003</v>
      </c>
      <c r="I63" s="142">
        <f t="shared" si="39"/>
        <v>33.198</v>
      </c>
      <c r="J63" s="142">
        <f t="shared" si="39"/>
        <v>31.701000000000004</v>
      </c>
      <c r="K63" s="142">
        <f t="shared" si="39"/>
        <v>17.448</v>
      </c>
      <c r="L63" s="142">
        <f t="shared" si="39"/>
        <v>70.587999999999994</v>
      </c>
      <c r="M63" s="142">
        <f t="shared" si="39"/>
        <v>103.03099999999999</v>
      </c>
      <c r="N63" s="142">
        <f t="shared" si="39"/>
        <v>77.206999999999994</v>
      </c>
      <c r="O63" s="142">
        <f>SUM(O59:O62)</f>
        <v>110.211</v>
      </c>
      <c r="P63" s="142">
        <v>148.88800000000001</v>
      </c>
      <c r="Q63" s="82"/>
      <c r="R63" s="142">
        <f t="shared" ref="R63:AM63" si="40">SUM(R59:R62)</f>
        <v>10.048</v>
      </c>
      <c r="S63" s="142">
        <f t="shared" si="40"/>
        <v>3.9979999999999993</v>
      </c>
      <c r="T63" s="142">
        <f t="shared" si="40"/>
        <v>9.11</v>
      </c>
      <c r="U63" s="142">
        <f t="shared" si="40"/>
        <v>8.2720000000000002</v>
      </c>
      <c r="V63" s="142">
        <f t="shared" si="40"/>
        <v>19.845000000000002</v>
      </c>
      <c r="W63" s="142">
        <f t="shared" si="40"/>
        <v>15.373999999999999</v>
      </c>
      <c r="X63" s="142">
        <f t="shared" si="40"/>
        <v>30.161000000000001</v>
      </c>
      <c r="Y63" s="142">
        <f t="shared" si="40"/>
        <v>11.844000000000001</v>
      </c>
      <c r="Z63" s="142">
        <f t="shared" si="40"/>
        <v>9.5990000000000002</v>
      </c>
      <c r="AA63" s="142">
        <f t="shared" si="40"/>
        <v>23.599</v>
      </c>
      <c r="AB63" s="142">
        <f t="shared" si="40"/>
        <v>9.3699999999999992</v>
      </c>
      <c r="AC63" s="142">
        <f t="shared" si="40"/>
        <v>22.331000000000007</v>
      </c>
      <c r="AD63" s="142">
        <f t="shared" si="40"/>
        <v>7.532</v>
      </c>
      <c r="AE63" s="142">
        <f t="shared" si="40"/>
        <v>9.9159999999999986</v>
      </c>
      <c r="AF63" s="142">
        <f t="shared" si="40"/>
        <v>34.184999999999995</v>
      </c>
      <c r="AG63" s="142">
        <f t="shared" si="40"/>
        <v>36.403000000000006</v>
      </c>
      <c r="AH63" s="142">
        <f t="shared" si="40"/>
        <v>71.474000000000004</v>
      </c>
      <c r="AI63" s="142">
        <f t="shared" si="40"/>
        <v>31.556999999999995</v>
      </c>
      <c r="AJ63" s="142">
        <f t="shared" si="40"/>
        <v>45.146999999999998</v>
      </c>
      <c r="AK63" s="142">
        <f t="shared" si="40"/>
        <v>32.06</v>
      </c>
      <c r="AL63" s="142">
        <f t="shared" si="40"/>
        <v>49.994</v>
      </c>
      <c r="AM63" s="142">
        <f t="shared" si="40"/>
        <v>60.216999999999999</v>
      </c>
      <c r="AN63" s="142">
        <f>SUM(AN59:AN62)</f>
        <v>75.402999999999992</v>
      </c>
      <c r="AO63" s="142">
        <f t="shared" si="38"/>
        <v>73.485000000000014</v>
      </c>
      <c r="AP63" s="142">
        <v>90.822000000000003</v>
      </c>
      <c r="AQ63" s="82"/>
    </row>
    <row r="64" spans="2:43">
      <c r="B64" s="472"/>
      <c r="D64" s="17"/>
      <c r="E64" s="392"/>
      <c r="F64" s="392"/>
      <c r="G64" s="392"/>
      <c r="H64" s="392"/>
      <c r="I64" s="392"/>
      <c r="J64" s="392"/>
      <c r="K64" s="392"/>
      <c r="L64" s="392"/>
      <c r="M64" s="392"/>
      <c r="N64" s="392"/>
      <c r="O64" s="441"/>
      <c r="P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row>
    <row r="65" spans="2:44">
      <c r="B65" s="472"/>
      <c r="D65" s="116" t="s">
        <v>742</v>
      </c>
      <c r="E65" s="138"/>
      <c r="F65" s="138"/>
      <c r="G65" s="138"/>
      <c r="H65" s="138"/>
      <c r="I65" s="138"/>
      <c r="J65" s="138"/>
      <c r="K65" s="138"/>
      <c r="L65" s="138"/>
      <c r="M65" s="138"/>
      <c r="N65" s="138"/>
      <c r="O65" s="138"/>
      <c r="P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row>
    <row r="66" spans="2:44">
      <c r="B66" s="472"/>
      <c r="D66" s="36" t="s">
        <v>633</v>
      </c>
      <c r="E66" s="91">
        <f t="shared" ref="E66:F66" si="41">E57+E48</f>
        <v>978.52199999999993</v>
      </c>
      <c r="F66" s="91">
        <f t="shared" si="41"/>
        <v>669.44500000000005</v>
      </c>
      <c r="G66" s="91">
        <f>G57+G48</f>
        <v>981.52599999999995</v>
      </c>
      <c r="H66" s="91">
        <f t="shared" ref="H66:AN72" si="42">H57+H48</f>
        <v>1170.836</v>
      </c>
      <c r="I66" s="91">
        <f t="shared" si="42"/>
        <v>1250.7940000000001</v>
      </c>
      <c r="J66" s="91">
        <f t="shared" si="42"/>
        <v>1230.981</v>
      </c>
      <c r="K66" s="91">
        <f t="shared" si="42"/>
        <v>1134.452</v>
      </c>
      <c r="L66" s="91">
        <f t="shared" si="42"/>
        <v>831.1629999999999</v>
      </c>
      <c r="M66" s="91">
        <f t="shared" si="42"/>
        <v>867.94400000000007</v>
      </c>
      <c r="N66" s="91">
        <f t="shared" si="42"/>
        <v>947.03800000000001</v>
      </c>
      <c r="O66" s="91">
        <f t="shared" si="42"/>
        <v>1050.1130000000001</v>
      </c>
      <c r="P66" s="91">
        <v>1102.549</v>
      </c>
      <c r="R66" s="91">
        <f t="shared" si="42"/>
        <v>483.05799999999999</v>
      </c>
      <c r="S66" s="91">
        <f t="shared" si="42"/>
        <v>495.46399999999994</v>
      </c>
      <c r="T66" s="91">
        <f t="shared" si="42"/>
        <v>290.97700000000003</v>
      </c>
      <c r="U66" s="91">
        <f t="shared" si="42"/>
        <v>378.57400000000001</v>
      </c>
      <c r="V66" s="91">
        <f t="shared" si="42"/>
        <v>444.79199999999997</v>
      </c>
      <c r="W66" s="91">
        <f t="shared" si="42"/>
        <v>536.36400000000003</v>
      </c>
      <c r="X66" s="91">
        <f t="shared" si="42"/>
        <v>596.1</v>
      </c>
      <c r="Y66" s="91">
        <f t="shared" si="42"/>
        <v>574.73599999999999</v>
      </c>
      <c r="Z66" s="91">
        <f t="shared" si="42"/>
        <v>606.45400000000006</v>
      </c>
      <c r="AA66" s="91">
        <f t="shared" si="42"/>
        <v>644.34</v>
      </c>
      <c r="AB66" s="91">
        <f t="shared" si="42"/>
        <v>623.89499999999998</v>
      </c>
      <c r="AC66" s="91">
        <f t="shared" si="42"/>
        <v>607.08600000000013</v>
      </c>
      <c r="AD66" s="91">
        <f t="shared" si="42"/>
        <v>575.14800000000002</v>
      </c>
      <c r="AE66" s="91">
        <f t="shared" si="42"/>
        <v>559.30400000000009</v>
      </c>
      <c r="AF66" s="91">
        <f t="shared" si="42"/>
        <v>413.62300000000005</v>
      </c>
      <c r="AG66" s="91">
        <f t="shared" si="42"/>
        <v>417.53999999999991</v>
      </c>
      <c r="AH66" s="91">
        <f t="shared" si="42"/>
        <v>437.74399999999997</v>
      </c>
      <c r="AI66" s="91">
        <f t="shared" si="42"/>
        <v>430.20000000000005</v>
      </c>
      <c r="AJ66" s="91">
        <f t="shared" si="42"/>
        <v>469.84300000000002</v>
      </c>
      <c r="AK66" s="91">
        <f t="shared" si="42"/>
        <v>477.19499999999999</v>
      </c>
      <c r="AL66" s="91">
        <f t="shared" si="42"/>
        <v>538.35599999999999</v>
      </c>
      <c r="AM66" s="91">
        <f t="shared" si="42"/>
        <v>511.75699999999995</v>
      </c>
      <c r="AN66" s="91">
        <f t="shared" si="42"/>
        <v>568.98900000000003</v>
      </c>
      <c r="AO66" s="91">
        <f>P66-AN66</f>
        <v>533.55999999999995</v>
      </c>
      <c r="AP66" s="91">
        <v>535.97</v>
      </c>
      <c r="AR66" s="82"/>
    </row>
    <row r="67" spans="2:44">
      <c r="B67" s="472"/>
      <c r="D67" s="140" t="s">
        <v>170</v>
      </c>
      <c r="E67" s="218">
        <f t="shared" ref="E67:F67" si="43">E58+E49</f>
        <v>978.52199999999993</v>
      </c>
      <c r="F67" s="218">
        <f t="shared" si="43"/>
        <v>669.55100000000004</v>
      </c>
      <c r="G67" s="218">
        <f t="shared" ref="G67:N72" si="44">G58+G49</f>
        <v>981.63199999999995</v>
      </c>
      <c r="H67" s="218">
        <f t="shared" si="44"/>
        <v>1170.8630000000001</v>
      </c>
      <c r="I67" s="218">
        <f t="shared" si="44"/>
        <v>1259.2339999999999</v>
      </c>
      <c r="J67" s="218">
        <f t="shared" si="44"/>
        <v>1276.8110000000001</v>
      </c>
      <c r="K67" s="218">
        <f t="shared" si="44"/>
        <v>1215.5740000000003</v>
      </c>
      <c r="L67" s="218">
        <f t="shared" si="44"/>
        <v>906.75799999999992</v>
      </c>
      <c r="M67" s="218">
        <f t="shared" si="44"/>
        <v>937.71400000000006</v>
      </c>
      <c r="N67" s="218">
        <f t="shared" si="44"/>
        <v>1006.2320000000001</v>
      </c>
      <c r="O67" s="218">
        <f t="shared" si="42"/>
        <v>1106.365</v>
      </c>
      <c r="P67" s="218">
        <v>1154.884</v>
      </c>
      <c r="R67" s="218">
        <f t="shared" ref="R67:AN67" si="45">R58+R49</f>
        <v>483.05799999999999</v>
      </c>
      <c r="S67" s="218">
        <f t="shared" si="45"/>
        <v>495.46399999999994</v>
      </c>
      <c r="T67" s="218">
        <f t="shared" si="45"/>
        <v>290.97700000000003</v>
      </c>
      <c r="U67" s="218">
        <f t="shared" si="45"/>
        <v>378.57400000000001</v>
      </c>
      <c r="V67" s="218">
        <f t="shared" si="45"/>
        <v>444.79199999999997</v>
      </c>
      <c r="W67" s="218">
        <f t="shared" si="45"/>
        <v>536.36400000000003</v>
      </c>
      <c r="X67" s="218">
        <f t="shared" si="45"/>
        <v>596.12699999999995</v>
      </c>
      <c r="Y67" s="218">
        <f t="shared" si="45"/>
        <v>574.7360000000001</v>
      </c>
      <c r="Z67" s="218">
        <f t="shared" si="45"/>
        <v>608.06500000000005</v>
      </c>
      <c r="AA67" s="218">
        <f t="shared" si="45"/>
        <v>651.16899999999987</v>
      </c>
      <c r="AB67" s="218">
        <f t="shared" si="45"/>
        <v>640.33399999999995</v>
      </c>
      <c r="AC67" s="218">
        <f t="shared" si="45"/>
        <v>636.4770000000002</v>
      </c>
      <c r="AD67" s="218">
        <f t="shared" si="45"/>
        <v>612.755</v>
      </c>
      <c r="AE67" s="218">
        <f t="shared" si="45"/>
        <v>602.81900000000019</v>
      </c>
      <c r="AF67" s="218">
        <f t="shared" si="45"/>
        <v>444.673</v>
      </c>
      <c r="AG67" s="218">
        <f t="shared" si="45"/>
        <v>462.08499999999998</v>
      </c>
      <c r="AH67" s="218">
        <f t="shared" si="45"/>
        <v>469.73200000000003</v>
      </c>
      <c r="AI67" s="218">
        <f t="shared" si="45"/>
        <v>467.98199999999997</v>
      </c>
      <c r="AJ67" s="218">
        <f t="shared" si="45"/>
        <v>500.04899999999998</v>
      </c>
      <c r="AK67" s="218">
        <f t="shared" si="45"/>
        <v>506.18300000000005</v>
      </c>
      <c r="AL67" s="218">
        <f t="shared" si="45"/>
        <v>569.21400000000006</v>
      </c>
      <c r="AM67" s="218">
        <f t="shared" si="45"/>
        <v>537.15100000000007</v>
      </c>
      <c r="AN67" s="218">
        <f t="shared" si="45"/>
        <v>595.40499999999997</v>
      </c>
      <c r="AO67" s="218">
        <f t="shared" ref="AO67:AO72" si="46">P67-AN67</f>
        <v>559.47900000000004</v>
      </c>
      <c r="AP67" s="218">
        <v>559.077</v>
      </c>
      <c r="AR67" s="82"/>
    </row>
    <row r="68" spans="2:44">
      <c r="B68" s="472"/>
      <c r="D68" s="36" t="s">
        <v>171</v>
      </c>
      <c r="E68" s="91">
        <f t="shared" ref="E68:F68" si="47">E59+E50</f>
        <v>1086.5119999999999</v>
      </c>
      <c r="F68" s="91">
        <f t="shared" si="47"/>
        <v>716.60599999999999</v>
      </c>
      <c r="G68" s="91">
        <f t="shared" si="44"/>
        <v>1099.614</v>
      </c>
      <c r="H68" s="91">
        <f t="shared" si="44"/>
        <v>1329.7179999999998</v>
      </c>
      <c r="I68" s="91">
        <f t="shared" si="44"/>
        <v>1445.47</v>
      </c>
      <c r="J68" s="91">
        <f t="shared" si="44"/>
        <v>1439.0510000000004</v>
      </c>
      <c r="K68" s="91">
        <f t="shared" si="44"/>
        <v>1377.2250000000001</v>
      </c>
      <c r="L68" s="91">
        <f t="shared" si="44"/>
        <v>998.3889999999999</v>
      </c>
      <c r="M68" s="91">
        <f t="shared" si="44"/>
        <v>1030.838</v>
      </c>
      <c r="N68" s="91">
        <f t="shared" si="44"/>
        <v>1125.4880000000001</v>
      </c>
      <c r="O68" s="91">
        <f t="shared" si="42"/>
        <v>1245.1009999999999</v>
      </c>
      <c r="P68" s="91">
        <v>1314.239</v>
      </c>
      <c r="R68" s="133">
        <f t="shared" ref="R68:AN68" si="48">R59+R50</f>
        <v>541.36400000000003</v>
      </c>
      <c r="S68" s="133">
        <f t="shared" si="48"/>
        <v>545.14800000000002</v>
      </c>
      <c r="T68" s="133">
        <f t="shared" si="48"/>
        <v>310.27099999999996</v>
      </c>
      <c r="U68" s="133">
        <f t="shared" si="48"/>
        <v>406.33499999999998</v>
      </c>
      <c r="V68" s="133">
        <f t="shared" si="48"/>
        <v>489.73899999999998</v>
      </c>
      <c r="W68" s="133">
        <f t="shared" si="48"/>
        <v>609.87500000000011</v>
      </c>
      <c r="X68" s="133">
        <f t="shared" si="48"/>
        <v>677.48899999999992</v>
      </c>
      <c r="Y68" s="133">
        <f t="shared" si="48"/>
        <v>652.22900000000004</v>
      </c>
      <c r="Z68" s="133">
        <f t="shared" si="48"/>
        <v>699.59</v>
      </c>
      <c r="AA68" s="133">
        <f t="shared" si="48"/>
        <v>745.88</v>
      </c>
      <c r="AB68" s="133">
        <f t="shared" si="48"/>
        <v>717.36299999999994</v>
      </c>
      <c r="AC68" s="133">
        <f t="shared" si="48"/>
        <v>721.68800000000033</v>
      </c>
      <c r="AD68" s="133">
        <f t="shared" si="48"/>
        <v>703.05899999999997</v>
      </c>
      <c r="AE68" s="133">
        <f t="shared" si="48"/>
        <v>674.16600000000017</v>
      </c>
      <c r="AF68" s="133">
        <f t="shared" si="48"/>
        <v>480.83199999999999</v>
      </c>
      <c r="AG68" s="133">
        <f t="shared" si="48"/>
        <v>517.55700000000002</v>
      </c>
      <c r="AH68" s="133">
        <f t="shared" si="48"/>
        <v>513.85699999999997</v>
      </c>
      <c r="AI68" s="133">
        <f t="shared" si="48"/>
        <v>516.98100000000011</v>
      </c>
      <c r="AJ68" s="133">
        <f t="shared" si="48"/>
        <v>561.39700000000005</v>
      </c>
      <c r="AK68" s="133">
        <f t="shared" si="48"/>
        <v>564.09100000000001</v>
      </c>
      <c r="AL68" s="133">
        <f t="shared" si="48"/>
        <v>631.83299999999997</v>
      </c>
      <c r="AM68" s="133">
        <f t="shared" si="48"/>
        <v>613.26799999999992</v>
      </c>
      <c r="AN68" s="133">
        <f t="shared" si="48"/>
        <v>680.44299999999998</v>
      </c>
      <c r="AO68" s="133">
        <f t="shared" si="46"/>
        <v>633.79600000000005</v>
      </c>
      <c r="AP68" s="133">
        <v>615.89099999999996</v>
      </c>
      <c r="AR68" s="82"/>
    </row>
    <row r="69" spans="2:44">
      <c r="B69" s="472"/>
      <c r="D69" s="36" t="s">
        <v>172</v>
      </c>
      <c r="E69" s="91">
        <f t="shared" ref="E69:F69" si="49">E60+E51</f>
        <v>4.0999999999999313</v>
      </c>
      <c r="F69" s="91">
        <f t="shared" si="49"/>
        <v>2.0129999999999999</v>
      </c>
      <c r="G69" s="91">
        <f t="shared" si="44"/>
        <v>2.5350000000000001</v>
      </c>
      <c r="H69" s="91">
        <f t="shared" si="44"/>
        <v>18.643999999999998</v>
      </c>
      <c r="I69" s="91">
        <f t="shared" si="44"/>
        <v>7.3509999999999991</v>
      </c>
      <c r="J69" s="91">
        <f t="shared" si="44"/>
        <v>9.02</v>
      </c>
      <c r="K69" s="91">
        <f t="shared" si="44"/>
        <v>8.8379999999999992</v>
      </c>
      <c r="L69" s="91">
        <f t="shared" si="44"/>
        <v>4.4339999999999993</v>
      </c>
      <c r="M69" s="91">
        <f t="shared" si="44"/>
        <v>4.7809999999999997</v>
      </c>
      <c r="N69" s="91">
        <f t="shared" si="44"/>
        <v>2.13</v>
      </c>
      <c r="O69" s="91">
        <f t="shared" si="42"/>
        <v>2.552</v>
      </c>
      <c r="P69" s="91">
        <v>2.5099999999999998</v>
      </c>
      <c r="R69" s="91">
        <f t="shared" ref="R69:AN69" si="50">R60+R51</f>
        <v>1.95</v>
      </c>
      <c r="S69" s="91">
        <f t="shared" si="50"/>
        <v>2.1499999999999311</v>
      </c>
      <c r="T69" s="91">
        <f t="shared" si="50"/>
        <v>1.038</v>
      </c>
      <c r="U69" s="91">
        <f t="shared" si="50"/>
        <v>0.97499999999999998</v>
      </c>
      <c r="V69" s="91">
        <f t="shared" si="50"/>
        <v>0.92199999999999993</v>
      </c>
      <c r="W69" s="91">
        <f t="shared" si="50"/>
        <v>1.6130000000000002</v>
      </c>
      <c r="X69" s="91">
        <f t="shared" si="50"/>
        <v>2.379</v>
      </c>
      <c r="Y69" s="91">
        <f t="shared" si="50"/>
        <v>16.265000000000001</v>
      </c>
      <c r="Z69" s="91">
        <f t="shared" si="50"/>
        <v>3.0459999999999998</v>
      </c>
      <c r="AA69" s="91">
        <f t="shared" si="50"/>
        <v>4.3049999999999997</v>
      </c>
      <c r="AB69" s="91">
        <f t="shared" si="50"/>
        <v>2.9080000000000004</v>
      </c>
      <c r="AC69" s="91">
        <f t="shared" si="50"/>
        <v>6.1119999999999992</v>
      </c>
      <c r="AD69" s="91">
        <f t="shared" si="50"/>
        <v>3.3259999999999996</v>
      </c>
      <c r="AE69" s="91">
        <f t="shared" si="50"/>
        <v>5.5120000000000005</v>
      </c>
      <c r="AF69" s="91">
        <f t="shared" si="50"/>
        <v>1.976</v>
      </c>
      <c r="AG69" s="91">
        <f t="shared" si="50"/>
        <v>2.4579999999999997</v>
      </c>
      <c r="AH69" s="91">
        <f t="shared" si="50"/>
        <v>2.1280000000000001</v>
      </c>
      <c r="AI69" s="91">
        <f t="shared" si="50"/>
        <v>2.6529999999999996</v>
      </c>
      <c r="AJ69" s="91">
        <f t="shared" si="50"/>
        <v>0.36099999999999999</v>
      </c>
      <c r="AK69" s="91">
        <f t="shared" si="50"/>
        <v>1.7689999999999999</v>
      </c>
      <c r="AL69" s="91">
        <f t="shared" si="50"/>
        <v>0.88400000000000001</v>
      </c>
      <c r="AM69" s="91">
        <f t="shared" si="50"/>
        <v>1.6680000000000001</v>
      </c>
      <c r="AN69" s="91">
        <f t="shared" si="50"/>
        <v>0.69900000000000007</v>
      </c>
      <c r="AO69" s="91">
        <f t="shared" si="46"/>
        <v>1.8109999999999997</v>
      </c>
      <c r="AP69" s="91">
        <v>0.95499999999999996</v>
      </c>
      <c r="AR69" s="82"/>
    </row>
    <row r="70" spans="2:44">
      <c r="B70" s="472"/>
      <c r="D70" s="36" t="s">
        <v>173</v>
      </c>
      <c r="E70" s="91">
        <f t="shared" ref="E70:F70" si="51">E61+E52</f>
        <v>249.066</v>
      </c>
      <c r="F70" s="91">
        <f t="shared" si="51"/>
        <v>159.881</v>
      </c>
      <c r="G70" s="391">
        <f t="shared" si="44"/>
        <v>234.47800000000001</v>
      </c>
      <c r="H70" s="91">
        <f t="shared" si="44"/>
        <v>336.89800000000002</v>
      </c>
      <c r="I70" s="91">
        <f t="shared" si="44"/>
        <v>338.92899999999997</v>
      </c>
      <c r="J70" s="91">
        <f t="shared" si="44"/>
        <v>377.08</v>
      </c>
      <c r="K70" s="91">
        <f t="shared" si="44"/>
        <v>370.048</v>
      </c>
      <c r="L70" s="91">
        <f t="shared" si="44"/>
        <v>295.02000000000004</v>
      </c>
      <c r="M70" s="91">
        <f t="shared" si="44"/>
        <v>303.13599999999997</v>
      </c>
      <c r="N70" s="91">
        <f t="shared" si="44"/>
        <v>362.38499999999999</v>
      </c>
      <c r="O70" s="91">
        <f t="shared" si="42"/>
        <v>377.24900000000002</v>
      </c>
      <c r="P70" s="91">
        <v>383.09399999999999</v>
      </c>
      <c r="R70" s="91">
        <f t="shared" ref="R70:AN70" si="52">R61+R52</f>
        <v>127.526</v>
      </c>
      <c r="S70" s="91">
        <f t="shared" si="52"/>
        <v>121.53999999999999</v>
      </c>
      <c r="T70" s="91">
        <f t="shared" si="52"/>
        <v>77.039999999999992</v>
      </c>
      <c r="U70" s="91">
        <f t="shared" si="52"/>
        <v>82.840999999999994</v>
      </c>
      <c r="V70" s="91">
        <f t="shared" si="52"/>
        <v>115.38</v>
      </c>
      <c r="W70" s="91">
        <f t="shared" si="52"/>
        <v>119.098</v>
      </c>
      <c r="X70" s="91">
        <f t="shared" si="52"/>
        <v>177.71199999999999</v>
      </c>
      <c r="Y70" s="91">
        <f t="shared" si="52"/>
        <v>159.18600000000001</v>
      </c>
      <c r="Z70" s="91">
        <f t="shared" si="52"/>
        <v>177.71099999999998</v>
      </c>
      <c r="AA70" s="91">
        <f t="shared" si="52"/>
        <v>161.21800000000002</v>
      </c>
      <c r="AB70" s="91">
        <f t="shared" si="52"/>
        <v>200.71599999999998</v>
      </c>
      <c r="AC70" s="91">
        <f t="shared" si="52"/>
        <v>176.364</v>
      </c>
      <c r="AD70" s="91">
        <f t="shared" si="52"/>
        <v>201.846</v>
      </c>
      <c r="AE70" s="91">
        <f t="shared" si="52"/>
        <v>168.202</v>
      </c>
      <c r="AF70" s="91">
        <f t="shared" si="52"/>
        <v>162.44900000000001</v>
      </c>
      <c r="AG70" s="91">
        <f t="shared" si="52"/>
        <v>132.57100000000003</v>
      </c>
      <c r="AH70" s="91">
        <f t="shared" si="52"/>
        <v>165.66199999999998</v>
      </c>
      <c r="AI70" s="91">
        <f t="shared" si="52"/>
        <v>137.47399999999999</v>
      </c>
      <c r="AJ70" s="91">
        <f t="shared" si="52"/>
        <v>194.54300000000001</v>
      </c>
      <c r="AK70" s="91">
        <f t="shared" si="52"/>
        <v>167.84199999999998</v>
      </c>
      <c r="AL70" s="91">
        <f t="shared" si="52"/>
        <v>209.565</v>
      </c>
      <c r="AM70" s="91">
        <f t="shared" si="52"/>
        <v>167.684</v>
      </c>
      <c r="AN70" s="91">
        <f t="shared" si="52"/>
        <v>198.911</v>
      </c>
      <c r="AO70" s="91">
        <f t="shared" si="46"/>
        <v>184.18299999999999</v>
      </c>
      <c r="AP70" s="91">
        <v>201.90100000000001</v>
      </c>
      <c r="AR70" s="82"/>
    </row>
    <row r="71" spans="2:44">
      <c r="B71" s="472"/>
      <c r="D71" s="36" t="s">
        <v>174</v>
      </c>
      <c r="E71" s="91">
        <f t="shared" ref="E71:F71" si="53">E62+E53</f>
        <v>361.983</v>
      </c>
      <c r="F71" s="91">
        <f t="shared" si="53"/>
        <v>180.49300000000002</v>
      </c>
      <c r="G71" s="91">
        <f t="shared" si="44"/>
        <v>299.96899999999999</v>
      </c>
      <c r="H71" s="91">
        <f t="shared" ref="H71:N71" si="54">H62+H53</f>
        <v>383.24700000000001</v>
      </c>
      <c r="I71" s="91">
        <f t="shared" si="54"/>
        <v>450.62900000000002</v>
      </c>
      <c r="J71" s="91">
        <f t="shared" si="54"/>
        <v>525.226</v>
      </c>
      <c r="K71" s="91">
        <f t="shared" si="54"/>
        <v>538.73199999999997</v>
      </c>
      <c r="L71" s="91">
        <f t="shared" si="54"/>
        <v>343.39499999999998</v>
      </c>
      <c r="M71" s="91">
        <f t="shared" si="54"/>
        <v>335.74900000000002</v>
      </c>
      <c r="N71" s="91">
        <f t="shared" si="54"/>
        <v>459.74700000000001</v>
      </c>
      <c r="O71" s="91">
        <f t="shared" si="42"/>
        <v>502.18200000000002</v>
      </c>
      <c r="P71" s="91">
        <v>544.96900000000005</v>
      </c>
      <c r="R71" s="91">
        <f t="shared" ref="R71:AN71" si="55">R62+R53</f>
        <v>188.78300000000002</v>
      </c>
      <c r="S71" s="91">
        <f t="shared" si="55"/>
        <v>173.2</v>
      </c>
      <c r="T71" s="91">
        <f t="shared" si="55"/>
        <v>76.825000000000003</v>
      </c>
      <c r="U71" s="91">
        <f t="shared" si="55"/>
        <v>103.66800000000001</v>
      </c>
      <c r="V71" s="91">
        <f t="shared" si="55"/>
        <v>126.164</v>
      </c>
      <c r="W71" s="91">
        <f t="shared" si="55"/>
        <v>173.80499999999995</v>
      </c>
      <c r="X71" s="91">
        <f t="shared" si="55"/>
        <v>179.24799999999999</v>
      </c>
      <c r="Y71" s="91">
        <f t="shared" si="55"/>
        <v>203.99900000000002</v>
      </c>
      <c r="Z71" s="91">
        <f t="shared" si="55"/>
        <v>208.89099999999999</v>
      </c>
      <c r="AA71" s="91">
        <f t="shared" si="55"/>
        <v>241.738</v>
      </c>
      <c r="AB71" s="91">
        <f t="shared" si="55"/>
        <v>248.22099999999998</v>
      </c>
      <c r="AC71" s="91">
        <f t="shared" si="55"/>
        <v>277.005</v>
      </c>
      <c r="AD71" s="91">
        <f t="shared" si="55"/>
        <v>266.96199999999999</v>
      </c>
      <c r="AE71" s="91">
        <f t="shared" si="55"/>
        <v>271.77</v>
      </c>
      <c r="AF71" s="91">
        <f t="shared" si="55"/>
        <v>173.03700000000001</v>
      </c>
      <c r="AG71" s="91">
        <f t="shared" si="55"/>
        <v>170.35799999999998</v>
      </c>
      <c r="AH71" s="91">
        <f t="shared" si="55"/>
        <v>148.77700000000002</v>
      </c>
      <c r="AI71" s="91">
        <f t="shared" si="55"/>
        <v>186.97199999999998</v>
      </c>
      <c r="AJ71" s="91">
        <f t="shared" si="55"/>
        <v>213.422</v>
      </c>
      <c r="AK71" s="91">
        <f t="shared" si="55"/>
        <v>246.32500000000002</v>
      </c>
      <c r="AL71" s="91">
        <f t="shared" si="55"/>
        <v>242.79500000000002</v>
      </c>
      <c r="AM71" s="91">
        <f t="shared" si="55"/>
        <v>269.60299999999995</v>
      </c>
      <c r="AN71" s="91">
        <f t="shared" si="55"/>
        <v>254.184</v>
      </c>
      <c r="AO71" s="91">
        <f t="shared" si="46"/>
        <v>290.78500000000008</v>
      </c>
      <c r="AP71" s="91">
        <v>261.33100000000002</v>
      </c>
      <c r="AR71" s="82"/>
    </row>
    <row r="72" spans="2:44">
      <c r="B72" s="472"/>
      <c r="D72" s="116" t="s">
        <v>175</v>
      </c>
      <c r="E72" s="142">
        <f t="shared" ref="E72:F72" si="56">E63+E54</f>
        <v>1701.6610000000001</v>
      </c>
      <c r="F72" s="142">
        <f t="shared" si="56"/>
        <v>1058.9929999999999</v>
      </c>
      <c r="G72" s="142">
        <f t="shared" si="44"/>
        <v>1636.5960000000002</v>
      </c>
      <c r="H72" s="142">
        <f t="shared" ref="H72:N72" si="57">H63+H54</f>
        <v>2068.5070000000001</v>
      </c>
      <c r="I72" s="142">
        <f t="shared" si="57"/>
        <v>2242.3789999999999</v>
      </c>
      <c r="J72" s="142">
        <f t="shared" si="57"/>
        <v>2350.3770000000004</v>
      </c>
      <c r="K72" s="142">
        <f t="shared" si="57"/>
        <v>2294.8430000000003</v>
      </c>
      <c r="L72" s="142">
        <f t="shared" si="57"/>
        <v>1641.2380000000001</v>
      </c>
      <c r="M72" s="142">
        <f t="shared" si="57"/>
        <v>1674.5039999999999</v>
      </c>
      <c r="N72" s="142">
        <f t="shared" si="57"/>
        <v>1949.75</v>
      </c>
      <c r="O72" s="142">
        <f t="shared" si="42"/>
        <v>2127.0839999999998</v>
      </c>
      <c r="P72" s="142">
        <v>2244.8119999999999</v>
      </c>
      <c r="R72" s="142">
        <f t="shared" ref="R72:AN72" si="58">R63+R54</f>
        <v>859.62300000000005</v>
      </c>
      <c r="S72" s="142">
        <f t="shared" si="58"/>
        <v>842.03800000000001</v>
      </c>
      <c r="T72" s="142">
        <f t="shared" si="58"/>
        <v>465.17399999999998</v>
      </c>
      <c r="U72" s="142">
        <f t="shared" si="58"/>
        <v>593.81900000000007</v>
      </c>
      <c r="V72" s="142">
        <f t="shared" si="58"/>
        <v>732.20500000000004</v>
      </c>
      <c r="W72" s="142">
        <f t="shared" si="58"/>
        <v>904.39100000000008</v>
      </c>
      <c r="X72" s="142">
        <f t="shared" si="58"/>
        <v>1036.828</v>
      </c>
      <c r="Y72" s="142">
        <f t="shared" si="58"/>
        <v>1031.6789999999999</v>
      </c>
      <c r="Z72" s="142">
        <f t="shared" si="58"/>
        <v>1089.2379999999998</v>
      </c>
      <c r="AA72" s="142">
        <f t="shared" si="58"/>
        <v>1153.1409999999998</v>
      </c>
      <c r="AB72" s="142">
        <f t="shared" si="58"/>
        <v>1169.2079999999996</v>
      </c>
      <c r="AC72" s="142">
        <f t="shared" si="58"/>
        <v>1181.1690000000001</v>
      </c>
      <c r="AD72" s="142">
        <f t="shared" si="58"/>
        <v>1175.193</v>
      </c>
      <c r="AE72" s="142">
        <f t="shared" si="58"/>
        <v>1119.6500000000001</v>
      </c>
      <c r="AF72" s="142">
        <f t="shared" si="58"/>
        <v>818.29399999999998</v>
      </c>
      <c r="AG72" s="142">
        <f t="shared" si="58"/>
        <v>822.94399999999996</v>
      </c>
      <c r="AH72" s="142">
        <f t="shared" si="58"/>
        <v>830.42400000000009</v>
      </c>
      <c r="AI72" s="142">
        <f t="shared" si="58"/>
        <v>844.08000000000015</v>
      </c>
      <c r="AJ72" s="142">
        <f t="shared" si="58"/>
        <v>969.72300000000007</v>
      </c>
      <c r="AK72" s="142">
        <f t="shared" si="58"/>
        <v>980.02700000000004</v>
      </c>
      <c r="AL72" s="142">
        <f t="shared" si="58"/>
        <v>1085.077</v>
      </c>
      <c r="AM72" s="142">
        <f t="shared" si="58"/>
        <v>1052.223</v>
      </c>
      <c r="AN72" s="142">
        <f t="shared" si="58"/>
        <v>1134.2369999999999</v>
      </c>
      <c r="AO72" s="142">
        <f t="shared" si="46"/>
        <v>1110.575</v>
      </c>
      <c r="AP72" s="142">
        <v>1080.078</v>
      </c>
      <c r="AQ72" s="82"/>
      <c r="AR72" s="82"/>
    </row>
    <row r="73" spans="2:44">
      <c r="D73" s="36"/>
      <c r="E73" s="91"/>
      <c r="F73" s="91"/>
      <c r="G73" s="91"/>
      <c r="H73" s="91"/>
      <c r="I73" s="91"/>
      <c r="J73" s="91"/>
      <c r="K73" s="91"/>
      <c r="L73" s="91"/>
      <c r="M73" s="91"/>
      <c r="N73" s="91"/>
      <c r="O73" s="91"/>
      <c r="P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row>
    <row r="74" spans="2:44">
      <c r="B74" s="470" t="s">
        <v>177</v>
      </c>
      <c r="D74" s="116" t="s">
        <v>553</v>
      </c>
      <c r="E74" s="138"/>
      <c r="F74" s="138"/>
      <c r="G74" s="138"/>
      <c r="H74" s="138"/>
      <c r="I74" s="138"/>
      <c r="J74" s="138"/>
      <c r="K74" s="138"/>
      <c r="L74" s="138"/>
      <c r="M74" s="138"/>
      <c r="N74" s="138"/>
      <c r="O74" s="138"/>
      <c r="P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row>
    <row r="75" spans="2:44">
      <c r="B75" s="470"/>
      <c r="D75" s="36" t="s">
        <v>633</v>
      </c>
      <c r="E75" s="91">
        <v>0.20100000000000001</v>
      </c>
      <c r="F75" s="91">
        <v>0</v>
      </c>
      <c r="G75" s="91">
        <v>0</v>
      </c>
      <c r="H75" s="91">
        <v>0</v>
      </c>
      <c r="I75" s="91">
        <v>0</v>
      </c>
      <c r="J75" s="91">
        <v>0</v>
      </c>
      <c r="K75" s="91">
        <v>0</v>
      </c>
      <c r="L75" s="91">
        <v>0</v>
      </c>
      <c r="M75" s="91">
        <v>0</v>
      </c>
      <c r="N75" s="91">
        <v>0</v>
      </c>
      <c r="O75" s="91">
        <v>0</v>
      </c>
      <c r="P75" s="91">
        <v>0</v>
      </c>
      <c r="R75" s="91">
        <v>0.20100000000000001</v>
      </c>
      <c r="S75" s="91">
        <v>0</v>
      </c>
      <c r="T75" s="91">
        <v>0</v>
      </c>
      <c r="U75" s="91">
        <v>0</v>
      </c>
      <c r="V75" s="91">
        <v>0</v>
      </c>
      <c r="W75" s="91">
        <v>0</v>
      </c>
      <c r="X75" s="91">
        <v>0</v>
      </c>
      <c r="Y75" s="91">
        <v>0</v>
      </c>
      <c r="Z75" s="91">
        <v>0</v>
      </c>
      <c r="AA75" s="91">
        <v>0</v>
      </c>
      <c r="AB75" s="91">
        <v>0</v>
      </c>
      <c r="AC75" s="91">
        <v>0</v>
      </c>
      <c r="AD75" s="91">
        <v>0</v>
      </c>
      <c r="AE75" s="91">
        <v>0</v>
      </c>
      <c r="AF75" s="91">
        <v>0</v>
      </c>
      <c r="AG75" s="91">
        <v>0</v>
      </c>
      <c r="AH75" s="91">
        <v>0</v>
      </c>
      <c r="AI75" s="91">
        <v>0</v>
      </c>
      <c r="AJ75" s="91">
        <v>0</v>
      </c>
      <c r="AK75" s="91">
        <v>0</v>
      </c>
      <c r="AL75" s="91">
        <v>0</v>
      </c>
      <c r="AM75" s="91">
        <v>0</v>
      </c>
      <c r="AN75" s="91">
        <v>0</v>
      </c>
      <c r="AO75" s="91">
        <f>P75-AN75</f>
        <v>0</v>
      </c>
      <c r="AP75" s="91">
        <v>0</v>
      </c>
    </row>
    <row r="76" spans="2:44">
      <c r="B76" s="470"/>
      <c r="D76" s="140" t="s">
        <v>170</v>
      </c>
      <c r="E76" s="218">
        <v>0.20100000000000001</v>
      </c>
      <c r="F76" s="218">
        <v>0</v>
      </c>
      <c r="G76" s="218">
        <v>0</v>
      </c>
      <c r="H76" s="218">
        <v>0</v>
      </c>
      <c r="I76" s="218">
        <v>0</v>
      </c>
      <c r="J76" s="218">
        <v>0</v>
      </c>
      <c r="K76" s="218">
        <v>0</v>
      </c>
      <c r="L76" s="218">
        <v>0</v>
      </c>
      <c r="M76" s="218">
        <v>0</v>
      </c>
      <c r="N76" s="218">
        <v>0</v>
      </c>
      <c r="O76" s="218">
        <v>0</v>
      </c>
      <c r="P76" s="218">
        <v>0</v>
      </c>
      <c r="R76" s="218">
        <v>0.20100000000000001</v>
      </c>
      <c r="S76" s="218">
        <v>0</v>
      </c>
      <c r="T76" s="218">
        <v>0</v>
      </c>
      <c r="U76" s="218">
        <v>0</v>
      </c>
      <c r="V76" s="218">
        <v>0</v>
      </c>
      <c r="W76" s="218">
        <v>0</v>
      </c>
      <c r="X76" s="218">
        <v>0</v>
      </c>
      <c r="Y76" s="218">
        <v>0</v>
      </c>
      <c r="Z76" s="218">
        <v>0</v>
      </c>
      <c r="AA76" s="218">
        <v>0</v>
      </c>
      <c r="AB76" s="218">
        <v>0</v>
      </c>
      <c r="AC76" s="218">
        <v>0</v>
      </c>
      <c r="AD76" s="218">
        <v>0</v>
      </c>
      <c r="AE76" s="218">
        <v>0</v>
      </c>
      <c r="AF76" s="218">
        <v>0</v>
      </c>
      <c r="AG76" s="218">
        <v>0</v>
      </c>
      <c r="AH76" s="218">
        <v>0</v>
      </c>
      <c r="AI76" s="218">
        <v>0</v>
      </c>
      <c r="AJ76" s="218">
        <v>0</v>
      </c>
      <c r="AK76" s="218">
        <v>0</v>
      </c>
      <c r="AL76" s="218">
        <v>0</v>
      </c>
      <c r="AM76" s="218">
        <v>0</v>
      </c>
      <c r="AN76" s="218">
        <v>0</v>
      </c>
      <c r="AO76" s="218">
        <f t="shared" ref="AO76:AO80" si="59">P76-AN76</f>
        <v>0</v>
      </c>
      <c r="AP76" s="218">
        <v>0</v>
      </c>
    </row>
    <row r="77" spans="2:44">
      <c r="B77" s="470"/>
      <c r="D77" s="36" t="s">
        <v>171</v>
      </c>
      <c r="E77" s="91">
        <v>0.90700000000000003</v>
      </c>
      <c r="F77" s="91">
        <v>0</v>
      </c>
      <c r="G77" s="91">
        <v>0</v>
      </c>
      <c r="H77" s="91">
        <v>0</v>
      </c>
      <c r="I77" s="91">
        <v>0</v>
      </c>
      <c r="J77" s="91">
        <v>0</v>
      </c>
      <c r="K77" s="91">
        <v>0</v>
      </c>
      <c r="L77" s="91">
        <v>0</v>
      </c>
      <c r="M77" s="91">
        <v>0</v>
      </c>
      <c r="N77" s="91">
        <v>0</v>
      </c>
      <c r="O77" s="91">
        <v>0</v>
      </c>
      <c r="P77" s="91">
        <v>0</v>
      </c>
      <c r="R77" s="133">
        <v>0.20100000000000001</v>
      </c>
      <c r="S77" s="133">
        <v>0.70599999999999996</v>
      </c>
      <c r="T77" s="133">
        <v>0</v>
      </c>
      <c r="U77" s="133">
        <v>0</v>
      </c>
      <c r="V77" s="133">
        <v>0</v>
      </c>
      <c r="W77" s="133">
        <v>0</v>
      </c>
      <c r="X77" s="133">
        <v>0</v>
      </c>
      <c r="Y77" s="133">
        <v>0</v>
      </c>
      <c r="Z77" s="133">
        <v>0</v>
      </c>
      <c r="AA77" s="133">
        <v>0</v>
      </c>
      <c r="AB77" s="133">
        <v>0</v>
      </c>
      <c r="AC77" s="133">
        <v>0</v>
      </c>
      <c r="AD77" s="133">
        <v>0</v>
      </c>
      <c r="AE77" s="133">
        <v>0</v>
      </c>
      <c r="AF77" s="133">
        <v>0</v>
      </c>
      <c r="AG77" s="133">
        <v>0</v>
      </c>
      <c r="AH77" s="133">
        <v>0</v>
      </c>
      <c r="AI77" s="133">
        <v>0</v>
      </c>
      <c r="AJ77" s="133">
        <v>0</v>
      </c>
      <c r="AK77" s="133">
        <v>0</v>
      </c>
      <c r="AL77" s="133">
        <v>0</v>
      </c>
      <c r="AM77" s="133">
        <v>0</v>
      </c>
      <c r="AN77" s="133">
        <v>0</v>
      </c>
      <c r="AO77" s="133">
        <f t="shared" si="59"/>
        <v>0</v>
      </c>
      <c r="AP77" s="133">
        <v>0</v>
      </c>
    </row>
    <row r="78" spans="2:44">
      <c r="B78" s="470"/>
      <c r="D78" s="36" t="s">
        <v>172</v>
      </c>
      <c r="E78" s="91">
        <v>0.36099999999999999</v>
      </c>
      <c r="F78" s="91">
        <v>0</v>
      </c>
      <c r="G78" s="91">
        <v>0</v>
      </c>
      <c r="H78" s="91">
        <v>0</v>
      </c>
      <c r="I78" s="91">
        <v>0</v>
      </c>
      <c r="J78" s="91">
        <v>9.8000000000000004E-2</v>
      </c>
      <c r="K78" s="91">
        <v>0</v>
      </c>
      <c r="L78" s="91">
        <v>5.0999999999999997E-2</v>
      </c>
      <c r="M78" s="91">
        <v>0</v>
      </c>
      <c r="N78" s="91">
        <v>0</v>
      </c>
      <c r="O78" s="91">
        <v>0</v>
      </c>
      <c r="P78" s="91">
        <v>0</v>
      </c>
      <c r="R78" s="91">
        <v>0.36099999999999999</v>
      </c>
      <c r="S78" s="91">
        <v>0</v>
      </c>
      <c r="T78" s="91">
        <v>0</v>
      </c>
      <c r="U78" s="91">
        <v>0</v>
      </c>
      <c r="V78" s="91">
        <v>0</v>
      </c>
      <c r="W78" s="91">
        <v>0</v>
      </c>
      <c r="X78" s="91">
        <v>0</v>
      </c>
      <c r="Y78" s="91">
        <v>0</v>
      </c>
      <c r="Z78" s="91">
        <v>0</v>
      </c>
      <c r="AA78" s="91">
        <v>0</v>
      </c>
      <c r="AB78" s="91">
        <v>0</v>
      </c>
      <c r="AC78" s="91">
        <v>9.8000000000000004E-2</v>
      </c>
      <c r="AD78" s="91">
        <v>0</v>
      </c>
      <c r="AE78" s="91">
        <v>0</v>
      </c>
      <c r="AF78" s="91">
        <v>5.0999999999999997E-2</v>
      </c>
      <c r="AG78" s="91">
        <v>0</v>
      </c>
      <c r="AH78" s="91">
        <v>0</v>
      </c>
      <c r="AI78" s="91">
        <v>0</v>
      </c>
      <c r="AJ78" s="91">
        <v>0</v>
      </c>
      <c r="AK78" s="91">
        <v>0</v>
      </c>
      <c r="AL78" s="91">
        <v>0</v>
      </c>
      <c r="AM78" s="91">
        <v>0</v>
      </c>
      <c r="AN78" s="91">
        <v>0</v>
      </c>
      <c r="AO78" s="91">
        <f t="shared" si="59"/>
        <v>0</v>
      </c>
      <c r="AP78" s="91">
        <v>0</v>
      </c>
    </row>
    <row r="79" spans="2:44">
      <c r="B79" s="470"/>
      <c r="D79" s="36" t="s">
        <v>173</v>
      </c>
      <c r="E79" s="91">
        <v>2.137</v>
      </c>
      <c r="F79" s="91">
        <v>1.2110000000000001</v>
      </c>
      <c r="G79" s="91">
        <v>1.3839999999999999</v>
      </c>
      <c r="H79" s="91">
        <v>0.27800000000000002</v>
      </c>
      <c r="I79" s="91">
        <v>0.14699999999999999</v>
      </c>
      <c r="J79" s="91">
        <v>0.184</v>
      </c>
      <c r="K79" s="91">
        <v>0.27300000000000002</v>
      </c>
      <c r="L79" s="91">
        <v>0.45500000000000002</v>
      </c>
      <c r="M79" s="91">
        <v>0.35399999999999998</v>
      </c>
      <c r="N79" s="91">
        <v>1.401</v>
      </c>
      <c r="O79" s="91">
        <v>1.28</v>
      </c>
      <c r="P79" s="91">
        <v>0.57199999999999995</v>
      </c>
      <c r="R79" s="91">
        <v>1.3919999999999999</v>
      </c>
      <c r="S79" s="91">
        <v>0.74500000000000011</v>
      </c>
      <c r="T79" s="91">
        <v>0.751</v>
      </c>
      <c r="U79" s="91">
        <v>0.46000000000000008</v>
      </c>
      <c r="V79" s="91">
        <v>0.97499999999999998</v>
      </c>
      <c r="W79" s="91">
        <v>0.40899999999999992</v>
      </c>
      <c r="X79" s="91">
        <v>0.17100000000000001</v>
      </c>
      <c r="Y79" s="91">
        <v>0.10700000000000001</v>
      </c>
      <c r="Z79" s="91">
        <v>6.8000000000000005E-2</v>
      </c>
      <c r="AA79" s="91">
        <v>7.8999999999999987E-2</v>
      </c>
      <c r="AB79" s="91">
        <v>7.5999999999999998E-2</v>
      </c>
      <c r="AC79" s="91">
        <v>0.108</v>
      </c>
      <c r="AD79" s="91">
        <v>0.17199999999999999</v>
      </c>
      <c r="AE79" s="91">
        <v>0.10100000000000003</v>
      </c>
      <c r="AF79" s="91">
        <v>0.20200000000000001</v>
      </c>
      <c r="AG79" s="91">
        <v>0.253</v>
      </c>
      <c r="AH79" s="91">
        <v>0.14000000000000001</v>
      </c>
      <c r="AI79" s="91">
        <v>0.21399999999999997</v>
      </c>
      <c r="AJ79" s="91">
        <v>0.47</v>
      </c>
      <c r="AK79" s="91">
        <v>0.93100000000000005</v>
      </c>
      <c r="AL79" s="91">
        <v>0.65700000000000003</v>
      </c>
      <c r="AM79" s="91">
        <v>0.623</v>
      </c>
      <c r="AN79" s="91">
        <v>0.23699999999999999</v>
      </c>
      <c r="AO79" s="91">
        <f t="shared" si="59"/>
        <v>0.33499999999999996</v>
      </c>
      <c r="AP79" s="91">
        <v>0.29699999999999999</v>
      </c>
    </row>
    <row r="80" spans="2:44" s="131" customFormat="1">
      <c r="B80" s="470"/>
      <c r="C80" s="12"/>
      <c r="D80" s="37" t="s">
        <v>174</v>
      </c>
      <c r="E80" s="91">
        <v>4.9359999999999999</v>
      </c>
      <c r="F80" s="91">
        <v>3.9140000000000001</v>
      </c>
      <c r="G80" s="91">
        <v>13.337999999999999</v>
      </c>
      <c r="H80" s="91">
        <v>28.024000000000001</v>
      </c>
      <c r="I80" s="91">
        <v>69.021000000000001</v>
      </c>
      <c r="J80" s="91">
        <v>94.153000000000006</v>
      </c>
      <c r="K80" s="91">
        <v>89.49</v>
      </c>
      <c r="L80" s="91">
        <v>55.158000000000001</v>
      </c>
      <c r="M80" s="91">
        <v>36.082000000000001</v>
      </c>
      <c r="N80" s="91">
        <v>49.134</v>
      </c>
      <c r="O80" s="91">
        <v>80.103999999999999</v>
      </c>
      <c r="P80" s="91">
        <v>107.127</v>
      </c>
      <c r="R80" s="91">
        <v>2.8159999999999998</v>
      </c>
      <c r="S80" s="139">
        <v>2.12</v>
      </c>
      <c r="T80" s="91">
        <v>1.766</v>
      </c>
      <c r="U80" s="139">
        <v>2.1480000000000001</v>
      </c>
      <c r="V80" s="91">
        <v>1.5580000000000001</v>
      </c>
      <c r="W80" s="139">
        <v>11.78</v>
      </c>
      <c r="X80" s="91">
        <v>10.459</v>
      </c>
      <c r="Y80" s="139">
        <v>17.565000000000001</v>
      </c>
      <c r="Z80" s="91">
        <v>37.881999999999998</v>
      </c>
      <c r="AA80" s="139">
        <v>31.139000000000003</v>
      </c>
      <c r="AB80" s="91">
        <v>44.244</v>
      </c>
      <c r="AC80" s="139">
        <v>49.909000000000006</v>
      </c>
      <c r="AD80" s="91">
        <v>50.408000000000001</v>
      </c>
      <c r="AE80" s="139">
        <v>39.081999999999994</v>
      </c>
      <c r="AF80" s="91">
        <v>34.595999999999997</v>
      </c>
      <c r="AG80" s="139">
        <v>20.562000000000005</v>
      </c>
      <c r="AH80" s="91">
        <v>16.869</v>
      </c>
      <c r="AI80" s="139">
        <v>19.213000000000001</v>
      </c>
      <c r="AJ80" s="91">
        <v>21.498000000000001</v>
      </c>
      <c r="AK80" s="139">
        <v>27.635999999999999</v>
      </c>
      <c r="AL80" s="91">
        <v>30.245999999999999</v>
      </c>
      <c r="AM80" s="139">
        <v>49.858000000000004</v>
      </c>
      <c r="AN80" s="91">
        <v>46.514000000000003</v>
      </c>
      <c r="AO80" s="91">
        <f t="shared" si="59"/>
        <v>60.612999999999992</v>
      </c>
      <c r="AP80" s="91">
        <v>41.249000000000002</v>
      </c>
    </row>
    <row r="81" spans="2:43">
      <c r="B81" s="470"/>
      <c r="D81" s="116" t="s">
        <v>175</v>
      </c>
      <c r="E81" s="142">
        <f t="shared" ref="E81:N81" si="60">SUM(E77:E80)</f>
        <v>8.3410000000000011</v>
      </c>
      <c r="F81" s="142">
        <f t="shared" si="60"/>
        <v>5.125</v>
      </c>
      <c r="G81" s="142">
        <f t="shared" si="60"/>
        <v>14.722</v>
      </c>
      <c r="H81" s="142">
        <f t="shared" si="60"/>
        <v>28.302</v>
      </c>
      <c r="I81" s="142">
        <f t="shared" si="60"/>
        <v>69.168000000000006</v>
      </c>
      <c r="J81" s="142">
        <f t="shared" si="60"/>
        <v>94.435000000000002</v>
      </c>
      <c r="K81" s="142">
        <f t="shared" si="60"/>
        <v>89.762999999999991</v>
      </c>
      <c r="L81" s="142">
        <f t="shared" si="60"/>
        <v>55.664000000000001</v>
      </c>
      <c r="M81" s="142">
        <f t="shared" si="60"/>
        <v>36.436</v>
      </c>
      <c r="N81" s="142">
        <f t="shared" si="60"/>
        <v>50.535000000000004</v>
      </c>
      <c r="O81" s="142">
        <f>SUM(O77:O80)</f>
        <v>81.384</v>
      </c>
      <c r="P81" s="142">
        <v>107.699</v>
      </c>
      <c r="Q81" s="82"/>
      <c r="R81" s="142">
        <f t="shared" ref="R81:AM81" si="61">SUM(R77:R80)</f>
        <v>4.7699999999999996</v>
      </c>
      <c r="S81" s="142">
        <f t="shared" si="61"/>
        <v>3.5710000000000002</v>
      </c>
      <c r="T81" s="142">
        <f t="shared" si="61"/>
        <v>2.5169999999999999</v>
      </c>
      <c r="U81" s="142">
        <f t="shared" si="61"/>
        <v>2.6080000000000001</v>
      </c>
      <c r="V81" s="142">
        <f t="shared" si="61"/>
        <v>2.5329999999999999</v>
      </c>
      <c r="W81" s="142">
        <f t="shared" si="61"/>
        <v>12.189</v>
      </c>
      <c r="X81" s="142">
        <f t="shared" si="61"/>
        <v>10.629999999999999</v>
      </c>
      <c r="Y81" s="142">
        <f t="shared" si="61"/>
        <v>17.672000000000001</v>
      </c>
      <c r="Z81" s="142">
        <f t="shared" si="61"/>
        <v>37.949999999999996</v>
      </c>
      <c r="AA81" s="142">
        <f t="shared" si="61"/>
        <v>31.218000000000004</v>
      </c>
      <c r="AB81" s="142">
        <f t="shared" si="61"/>
        <v>44.32</v>
      </c>
      <c r="AC81" s="142">
        <f t="shared" si="61"/>
        <v>50.115000000000009</v>
      </c>
      <c r="AD81" s="142">
        <f t="shared" si="61"/>
        <v>50.58</v>
      </c>
      <c r="AE81" s="142">
        <f t="shared" si="61"/>
        <v>39.182999999999993</v>
      </c>
      <c r="AF81" s="142">
        <f t="shared" si="61"/>
        <v>34.848999999999997</v>
      </c>
      <c r="AG81" s="142">
        <f t="shared" si="61"/>
        <v>20.815000000000005</v>
      </c>
      <c r="AH81" s="142">
        <f t="shared" si="61"/>
        <v>17.009</v>
      </c>
      <c r="AI81" s="142">
        <f t="shared" si="61"/>
        <v>19.427</v>
      </c>
      <c r="AJ81" s="142">
        <f t="shared" si="61"/>
        <v>21.968</v>
      </c>
      <c r="AK81" s="142">
        <f t="shared" si="61"/>
        <v>28.567</v>
      </c>
      <c r="AL81" s="142">
        <f t="shared" si="61"/>
        <v>30.902999999999999</v>
      </c>
      <c r="AM81" s="142">
        <f t="shared" si="61"/>
        <v>50.481000000000002</v>
      </c>
      <c r="AN81" s="142">
        <f>SUM(AN77:AN80)</f>
        <v>46.751000000000005</v>
      </c>
      <c r="AO81" s="142">
        <f>P81-AN81</f>
        <v>60.947999999999993</v>
      </c>
      <c r="AP81" s="142">
        <v>41.545999999999999</v>
      </c>
      <c r="AQ81" s="82"/>
    </row>
    <row r="82" spans="2:43">
      <c r="B82" s="470"/>
      <c r="D82" s="36"/>
      <c r="E82" s="91"/>
      <c r="F82" s="91"/>
      <c r="G82" s="91"/>
      <c r="H82" s="91"/>
      <c r="I82" s="91"/>
      <c r="J82" s="91"/>
      <c r="K82" s="91"/>
      <c r="L82" s="91"/>
      <c r="M82" s="91"/>
      <c r="N82" s="91"/>
      <c r="O82" s="91"/>
      <c r="P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row>
    <row r="83" spans="2:43" ht="12.75" customHeight="1">
      <c r="B83" s="470"/>
      <c r="D83" s="116" t="s">
        <v>554</v>
      </c>
      <c r="E83" s="138"/>
      <c r="F83" s="138"/>
      <c r="G83" s="138"/>
      <c r="H83" s="138"/>
      <c r="I83" s="138"/>
      <c r="J83" s="138"/>
      <c r="K83" s="138"/>
      <c r="L83" s="138"/>
      <c r="M83" s="138"/>
      <c r="N83" s="138"/>
      <c r="O83" s="138"/>
      <c r="P83" s="138"/>
      <c r="R83" s="138"/>
      <c r="S83" s="138"/>
      <c r="T83" s="138"/>
      <c r="U83" s="138"/>
      <c r="V83" s="138"/>
      <c r="W83" s="138"/>
      <c r="X83" s="138"/>
      <c r="Y83" s="138"/>
      <c r="Z83" s="138"/>
      <c r="AA83" s="138"/>
      <c r="AB83" s="138"/>
      <c r="AC83" s="138"/>
      <c r="AD83" s="138"/>
      <c r="AE83" s="138"/>
      <c r="AF83" s="138"/>
      <c r="AG83" s="138"/>
      <c r="AH83" s="138"/>
      <c r="AI83" s="138"/>
      <c r="AJ83" s="138"/>
      <c r="AK83" s="138">
        <f>N83-AJ83</f>
        <v>0</v>
      </c>
      <c r="AL83" s="138"/>
      <c r="AM83" s="138"/>
      <c r="AN83" s="138"/>
      <c r="AO83" s="138"/>
      <c r="AP83" s="138"/>
    </row>
    <row r="84" spans="2:43">
      <c r="B84" s="470"/>
      <c r="D84" s="36" t="s">
        <v>633</v>
      </c>
      <c r="E84" s="91">
        <v>0.66300000000000558</v>
      </c>
      <c r="F84" s="91">
        <v>0.25799999999995649</v>
      </c>
      <c r="G84" s="91">
        <v>2.3000000000145349E-2</v>
      </c>
      <c r="H84" s="91">
        <v>2.0000000001871854E-3</v>
      </c>
      <c r="I84" s="91">
        <v>1.0000000000012221E-3</v>
      </c>
      <c r="J84" s="91">
        <v>1.2789769243681803E-13</v>
      </c>
      <c r="K84" s="91">
        <v>-3.3661962106634746E-13</v>
      </c>
      <c r="L84" s="91">
        <v>6.3948846218409017E-14</v>
      </c>
      <c r="M84" s="91">
        <v>-6.3948846218409017E-14</v>
      </c>
      <c r="N84" s="91">
        <v>-2.1316282072803006E-14</v>
      </c>
      <c r="O84" s="91">
        <v>9.2370555648813024E-14</v>
      </c>
      <c r="P84" s="91">
        <v>9.9999999997635314E-4</v>
      </c>
      <c r="R84" s="91">
        <f t="shared" ref="R84:AN84" si="62">R5-R21-R30-R48-R57-R75</f>
        <v>0.39700000000005092</v>
      </c>
      <c r="S84" s="91">
        <f t="shared" si="62"/>
        <v>0.2660000000000684</v>
      </c>
      <c r="T84" s="91">
        <f t="shared" si="62"/>
        <v>0.11599999999994104</v>
      </c>
      <c r="U84" s="91">
        <f t="shared" si="62"/>
        <v>3.5999999999907217E-2</v>
      </c>
      <c r="V84" s="91">
        <f t="shared" si="62"/>
        <v>4.9737991503207013E-14</v>
      </c>
      <c r="W84" s="91">
        <f t="shared" si="62"/>
        <v>0.39299999999987278</v>
      </c>
      <c r="X84" s="91">
        <f t="shared" si="62"/>
        <v>-3.5527136788005009E-15</v>
      </c>
      <c r="Y84" s="91">
        <f t="shared" si="62"/>
        <v>1.9999999999633644E-3</v>
      </c>
      <c r="Z84" s="91">
        <f t="shared" si="62"/>
        <v>3.2862601528904634E-14</v>
      </c>
      <c r="AA84" s="91">
        <f t="shared" si="62"/>
        <v>9.9999999996924771E-4</v>
      </c>
      <c r="AB84" s="91">
        <f t="shared" si="62"/>
        <v>-1.127986593019159E-13</v>
      </c>
      <c r="AC84" s="91">
        <f t="shared" si="62"/>
        <v>2.4158453015843406E-13</v>
      </c>
      <c r="AD84" s="91">
        <f t="shared" si="62"/>
        <v>2.1760371282653068E-14</v>
      </c>
      <c r="AE84" s="91">
        <f t="shared" si="62"/>
        <v>-1.3145040611561853E-13</v>
      </c>
      <c r="AF84" s="91">
        <f t="shared" si="62"/>
        <v>-8.8817841970012523E-14</v>
      </c>
      <c r="AG84" s="91">
        <f t="shared" si="62"/>
        <v>1.5276668818842154E-13</v>
      </c>
      <c r="AH84" s="91">
        <f t="shared" si="62"/>
        <v>4.2632564145606011E-14</v>
      </c>
      <c r="AI84" s="91">
        <f t="shared" si="62"/>
        <v>-4.9737991503207013E-14</v>
      </c>
      <c r="AJ84" s="91">
        <f t="shared" si="62"/>
        <v>-6.0396132539608516E-14</v>
      </c>
      <c r="AK84" s="91">
        <f t="shared" si="62"/>
        <v>1.5276668818842154E-13</v>
      </c>
      <c r="AL84" s="91">
        <f t="shared" si="62"/>
        <v>-1.1723955140041653E-13</v>
      </c>
      <c r="AM84" s="91">
        <f t="shared" si="62"/>
        <v>-1.7763568394002505E-14</v>
      </c>
      <c r="AN84" s="91">
        <f t="shared" si="62"/>
        <v>9.9999999987687715E-4</v>
      </c>
      <c r="AO84" s="91">
        <f>P84-AN84</f>
        <v>9.9475983006414026E-14</v>
      </c>
      <c r="AP84" s="91">
        <v>-1.1368683772161603E-13</v>
      </c>
    </row>
    <row r="85" spans="2:43">
      <c r="B85" s="470"/>
      <c r="D85" s="140" t="s">
        <v>170</v>
      </c>
      <c r="E85" s="140">
        <v>0.66300000000000558</v>
      </c>
      <c r="F85" s="140">
        <v>0.15199999999996194</v>
      </c>
      <c r="G85" s="140">
        <v>-8.2999999999849194E-2</v>
      </c>
      <c r="H85" s="140">
        <v>2.0000000001871854E-3</v>
      </c>
      <c r="I85" s="140">
        <v>0.42300000000002669</v>
      </c>
      <c r="J85" s="140">
        <v>-5.3290705182007514E-14</v>
      </c>
      <c r="K85" s="140">
        <v>-3.5527136788005009E-13</v>
      </c>
      <c r="L85" s="140">
        <v>-1.6342482922482304E-13</v>
      </c>
      <c r="M85" s="140">
        <v>-6.3948846218409017E-14</v>
      </c>
      <c r="N85" s="140">
        <v>0.30300000000004701</v>
      </c>
      <c r="O85" s="140">
        <v>2.0605739337042905E-13</v>
      </c>
      <c r="P85" s="140">
        <v>1.0000000002037268E-3</v>
      </c>
      <c r="R85" s="140">
        <f t="shared" ref="R85:AN85" si="63">R6-R22-R31-R49-R58-R76</f>
        <v>0.39700000000005092</v>
      </c>
      <c r="S85" s="140">
        <f t="shared" si="63"/>
        <v>0.2660000000000684</v>
      </c>
      <c r="T85" s="140">
        <f t="shared" si="63"/>
        <v>0.11599999999994104</v>
      </c>
      <c r="U85" s="140">
        <f t="shared" si="63"/>
        <v>3.5999999999907217E-2</v>
      </c>
      <c r="V85" s="140">
        <f t="shared" si="63"/>
        <v>4.9737991503207013E-14</v>
      </c>
      <c r="W85" s="140">
        <f t="shared" si="63"/>
        <v>0.39299999999987278</v>
      </c>
      <c r="X85" s="140">
        <f t="shared" si="63"/>
        <v>-2.6999999999933522E-2</v>
      </c>
      <c r="Y85" s="140">
        <f t="shared" si="63"/>
        <v>2.8999999999893333E-2</v>
      </c>
      <c r="Z85" s="140">
        <f t="shared" si="63"/>
        <v>3.2862601528904634E-14</v>
      </c>
      <c r="AA85" s="140">
        <f t="shared" si="63"/>
        <v>0.42299999999999471</v>
      </c>
      <c r="AB85" s="140">
        <f t="shared" si="63"/>
        <v>6.7501559897209518E-14</v>
      </c>
      <c r="AC85" s="140">
        <f t="shared" si="63"/>
        <v>-2.3447910280083306E-13</v>
      </c>
      <c r="AD85" s="140">
        <f t="shared" si="63"/>
        <v>-9.1926466438962962E-14</v>
      </c>
      <c r="AE85" s="140">
        <f t="shared" si="63"/>
        <v>-2.6290081223123707E-13</v>
      </c>
      <c r="AF85" s="140">
        <f t="shared" si="63"/>
        <v>-1.0658141036401503E-14</v>
      </c>
      <c r="AG85" s="140">
        <f t="shared" si="63"/>
        <v>-3.907985046680551E-14</v>
      </c>
      <c r="AH85" s="140">
        <f t="shared" si="63"/>
        <v>7.1054273576010019E-15</v>
      </c>
      <c r="AI85" s="140">
        <f t="shared" si="63"/>
        <v>-7.1054273576010019E-14</v>
      </c>
      <c r="AJ85" s="140">
        <f t="shared" si="63"/>
        <v>1.6000000000083503E-2</v>
      </c>
      <c r="AK85" s="140">
        <f t="shared" si="63"/>
        <v>0.28700000000007719</v>
      </c>
      <c r="AL85" s="221">
        <f t="shared" si="63"/>
        <v>-6.0396132539608516E-14</v>
      </c>
      <c r="AM85" s="140">
        <f t="shared" si="63"/>
        <v>3.907985046680551E-14</v>
      </c>
      <c r="AN85" s="140">
        <f t="shared" si="63"/>
        <v>9.9999999987687715E-4</v>
      </c>
      <c r="AO85" s="140">
        <f t="shared" ref="AO85:AO90" si="64">P85-AN85</f>
        <v>3.2684965844964609E-13</v>
      </c>
      <c r="AP85" s="140">
        <v>1.1368683772161603E-13</v>
      </c>
    </row>
    <row r="86" spans="2:43">
      <c r="B86" s="470"/>
      <c r="D86" s="36" t="s">
        <v>171</v>
      </c>
      <c r="E86" s="91">
        <v>0.75899999999982937</v>
      </c>
      <c r="F86" s="91">
        <v>0.15199999999994773</v>
      </c>
      <c r="G86" s="91">
        <v>-0.36700000000001864</v>
      </c>
      <c r="H86" s="91">
        <v>1.9999999998638884E-3</v>
      </c>
      <c r="I86" s="91">
        <v>0.4229999999999734</v>
      </c>
      <c r="J86" s="91">
        <v>2.6999999999677726E-2</v>
      </c>
      <c r="K86" s="91">
        <v>2.0161650127192843E-13</v>
      </c>
      <c r="L86" s="91">
        <v>-4.9737991503207013E-14</v>
      </c>
      <c r="M86" s="91">
        <v>0.13299999999995293</v>
      </c>
      <c r="N86" s="91">
        <v>0.31199999999991235</v>
      </c>
      <c r="O86" s="91">
        <v>-7.1054273576010019E-14</v>
      </c>
      <c r="P86" s="91">
        <v>1.0000000002037268E-3</v>
      </c>
      <c r="R86" s="91">
        <f t="shared" ref="R86:AN86" si="65">R7-R23-R32-R50-R59-R77</f>
        <v>0.41500000000004184</v>
      </c>
      <c r="S86" s="91">
        <f t="shared" si="65"/>
        <v>0.34399999999990127</v>
      </c>
      <c r="T86" s="91">
        <f t="shared" si="65"/>
        <v>0.1159999999999588</v>
      </c>
      <c r="U86" s="91">
        <f t="shared" si="65"/>
        <v>3.6000000000045773E-2</v>
      </c>
      <c r="V86" s="91">
        <f t="shared" si="65"/>
        <v>5.8619775700208265E-14</v>
      </c>
      <c r="W86" s="91">
        <f t="shared" si="65"/>
        <v>-0.36699999999990673</v>
      </c>
      <c r="X86" s="91">
        <f t="shared" si="65"/>
        <v>-2.6999999999958391E-2</v>
      </c>
      <c r="Y86" s="91">
        <f t="shared" si="65"/>
        <v>2.9000000000049653E-2</v>
      </c>
      <c r="Z86" s="91">
        <f t="shared" si="65"/>
        <v>-1.1546319456101628E-13</v>
      </c>
      <c r="AA86" s="91">
        <f t="shared" si="65"/>
        <v>0.42300000000020077</v>
      </c>
      <c r="AB86" s="91">
        <f t="shared" si="65"/>
        <v>-4.0856207306205761E-14</v>
      </c>
      <c r="AC86" s="91">
        <f t="shared" si="65"/>
        <v>2.6999999999489432E-2</v>
      </c>
      <c r="AD86" s="91">
        <f t="shared" si="65"/>
        <v>7.9936057773011271E-15</v>
      </c>
      <c r="AE86" s="91">
        <f t="shared" si="65"/>
        <v>-3.3750779948604759E-14</v>
      </c>
      <c r="AF86" s="91">
        <f t="shared" si="65"/>
        <v>5.3290705182007514E-15</v>
      </c>
      <c r="AG86" s="91">
        <f t="shared" si="65"/>
        <v>5.6843418860808015E-14</v>
      </c>
      <c r="AH86" s="91">
        <f t="shared" si="65"/>
        <v>-2.1316282072803006E-14</v>
      </c>
      <c r="AI86" s="91">
        <f t="shared" si="65"/>
        <v>0.13299999999986056</v>
      </c>
      <c r="AJ86" s="91">
        <f t="shared" si="65"/>
        <v>2.4999999999785416E-2</v>
      </c>
      <c r="AK86" s="91">
        <f t="shared" si="65"/>
        <v>0.28700000000001324</v>
      </c>
      <c r="AL86" s="91">
        <f t="shared" si="65"/>
        <v>8.1712414612411521E-14</v>
      </c>
      <c r="AM86" s="91">
        <f t="shared" si="65"/>
        <v>-4.2632564145606011E-14</v>
      </c>
      <c r="AN86" s="91">
        <f t="shared" si="65"/>
        <v>9.99999999940826E-4</v>
      </c>
      <c r="AO86" s="91">
        <f t="shared" si="64"/>
        <v>2.6290081223123707E-13</v>
      </c>
      <c r="AP86" s="91">
        <v>1.1368683772161603E-13</v>
      </c>
    </row>
    <row r="87" spans="2:43">
      <c r="B87" s="470"/>
      <c r="D87" s="36" t="s">
        <v>172</v>
      </c>
      <c r="E87" s="91">
        <v>90.358999999999881</v>
      </c>
      <c r="F87" s="91">
        <v>104.05</v>
      </c>
      <c r="G87" s="91">
        <v>104.39600000000002</v>
      </c>
      <c r="H87" s="91">
        <v>117.18200000000002</v>
      </c>
      <c r="I87" s="91">
        <v>133.96199999999999</v>
      </c>
      <c r="J87" s="91">
        <v>116.33499999999998</v>
      </c>
      <c r="K87" s="91">
        <v>101.44</v>
      </c>
      <c r="L87" s="91">
        <v>130.72000000000003</v>
      </c>
      <c r="M87" s="91">
        <v>144.25399999999999</v>
      </c>
      <c r="N87" s="91">
        <v>147.089</v>
      </c>
      <c r="O87" s="91">
        <v>156.982</v>
      </c>
      <c r="P87" s="91">
        <v>154.84899999999999</v>
      </c>
      <c r="R87" s="91">
        <f t="shared" ref="R87:AK87" si="66">R8-R24-R33-R51-R60-R78</f>
        <v>30.984000000000002</v>
      </c>
      <c r="S87" s="91">
        <f t="shared" si="66"/>
        <v>59.374999999999886</v>
      </c>
      <c r="T87" s="91">
        <f t="shared" si="66"/>
        <v>49.478000000000002</v>
      </c>
      <c r="U87" s="91">
        <f t="shared" si="66"/>
        <v>54.572000000000003</v>
      </c>
      <c r="V87" s="91">
        <f t="shared" si="66"/>
        <v>46.484000000000002</v>
      </c>
      <c r="W87" s="91">
        <f t="shared" si="66"/>
        <v>57.911999999999999</v>
      </c>
      <c r="X87" s="91">
        <f t="shared" si="66"/>
        <v>50.509</v>
      </c>
      <c r="Y87" s="91">
        <f t="shared" si="66"/>
        <v>66.673000000000016</v>
      </c>
      <c r="Z87" s="91">
        <f t="shared" si="66"/>
        <v>60.88300000000001</v>
      </c>
      <c r="AA87" s="91">
        <f t="shared" si="66"/>
        <v>73.078999999999979</v>
      </c>
      <c r="AB87" s="91">
        <f t="shared" si="66"/>
        <v>55.693999999999996</v>
      </c>
      <c r="AC87" s="91">
        <f t="shared" si="66"/>
        <v>60.641000000000005</v>
      </c>
      <c r="AD87" s="91">
        <f t="shared" si="66"/>
        <v>46.295000000000002</v>
      </c>
      <c r="AE87" s="91">
        <f t="shared" si="66"/>
        <v>55.144999999999989</v>
      </c>
      <c r="AF87" s="91">
        <f t="shared" si="66"/>
        <v>59.721000000000004</v>
      </c>
      <c r="AG87" s="91">
        <f t="shared" si="66"/>
        <v>70.999000000000009</v>
      </c>
      <c r="AH87" s="91">
        <f t="shared" si="66"/>
        <v>61.588000000000001</v>
      </c>
      <c r="AI87" s="91">
        <f t="shared" si="66"/>
        <v>82.665999999999997</v>
      </c>
      <c r="AJ87" s="91">
        <f t="shared" si="66"/>
        <v>65.98</v>
      </c>
      <c r="AK87" s="91">
        <f t="shared" si="66"/>
        <v>81.10899999999998</v>
      </c>
      <c r="AL87" s="91">
        <f>68092/1000</f>
        <v>68.091999999999999</v>
      </c>
      <c r="AM87" s="91">
        <f t="shared" ref="AM87:AN89" si="67">AM8-AM24-AM33-AM51-AM60-AM78</f>
        <v>88.89</v>
      </c>
      <c r="AN87" s="91">
        <f t="shared" si="67"/>
        <v>70.224000000000004</v>
      </c>
      <c r="AO87" s="91">
        <f t="shared" si="64"/>
        <v>84.624999999999986</v>
      </c>
      <c r="AP87" s="91">
        <v>71.399999999999991</v>
      </c>
    </row>
    <row r="88" spans="2:43">
      <c r="B88" s="470"/>
      <c r="D88" s="36" t="s">
        <v>173</v>
      </c>
      <c r="E88" s="91">
        <v>7.8000000000007841E-2</v>
      </c>
      <c r="F88" s="91">
        <v>5.440092820663267E-14</v>
      </c>
      <c r="G88" s="391">
        <v>0</v>
      </c>
      <c r="H88" s="91">
        <v>-1.9095836023552692E-14</v>
      </c>
      <c r="I88" s="91">
        <v>0.6500000000000592</v>
      </c>
      <c r="J88" s="91">
        <v>1.526000000000016</v>
      </c>
      <c r="K88" s="91">
        <v>1.4190000000001031</v>
      </c>
      <c r="L88" s="91">
        <v>14.073999999999954</v>
      </c>
      <c r="M88" s="91">
        <v>13.925000000000033</v>
      </c>
      <c r="N88" s="91">
        <v>14.309000000000101</v>
      </c>
      <c r="O88" s="91">
        <v>11.689</v>
      </c>
      <c r="P88" s="91">
        <v>1.632999999999984</v>
      </c>
      <c r="R88" s="91">
        <f t="shared" ref="R88:AK88" si="68">R9-R25-R34-R52-R61-R79</f>
        <v>7.5495165674510645E-15</v>
      </c>
      <c r="S88" s="91">
        <f t="shared" si="68"/>
        <v>7.799999999998608E-2</v>
      </c>
      <c r="T88" s="91">
        <f t="shared" si="68"/>
        <v>3.8857805861880479E-15</v>
      </c>
      <c r="U88" s="91">
        <f t="shared" si="68"/>
        <v>7.8825834748386114E-15</v>
      </c>
      <c r="V88" s="91">
        <f t="shared" si="68"/>
        <v>1.9206858326015208E-14</v>
      </c>
      <c r="W88" s="391">
        <f t="shared" si="68"/>
        <v>-2.0539125955565396E-14</v>
      </c>
      <c r="X88" s="91">
        <f t="shared" si="68"/>
        <v>-1.7513768213461844E-14</v>
      </c>
      <c r="Y88" s="91">
        <f t="shared" si="68"/>
        <v>-5.8425486670898863E-14</v>
      </c>
      <c r="Z88" s="91">
        <f t="shared" si="68"/>
        <v>0.2980000000000334</v>
      </c>
      <c r="AA88" s="91">
        <f t="shared" si="68"/>
        <v>0.35200000000002585</v>
      </c>
      <c r="AB88" s="91">
        <f t="shared" si="68"/>
        <v>1.3709999999999956</v>
      </c>
      <c r="AC88" s="91">
        <f t="shared" si="68"/>
        <v>0.15500000000002034</v>
      </c>
      <c r="AD88" s="91">
        <f t="shared" si="68"/>
        <v>0.16600000000001786</v>
      </c>
      <c r="AE88" s="91">
        <f t="shared" si="68"/>
        <v>1.2530000000000001</v>
      </c>
      <c r="AF88" s="91">
        <f t="shared" si="68"/>
        <v>6.8339999999999463</v>
      </c>
      <c r="AG88" s="91">
        <f t="shared" si="68"/>
        <v>7.2400000000000073</v>
      </c>
      <c r="AH88" s="91">
        <f t="shared" si="68"/>
        <v>6.0470000000000015</v>
      </c>
      <c r="AI88" s="91">
        <f t="shared" si="68"/>
        <v>7.8780000000000303</v>
      </c>
      <c r="AJ88" s="91">
        <f t="shared" si="68"/>
        <v>6.7759999999999811</v>
      </c>
      <c r="AK88" s="91">
        <f t="shared" si="68"/>
        <v>7.5330000000000625</v>
      </c>
      <c r="AL88" s="91">
        <f>7518/1000</f>
        <v>7.5179999999999998</v>
      </c>
      <c r="AM88" s="91">
        <f t="shared" si="67"/>
        <v>4.171000000000018</v>
      </c>
      <c r="AN88" s="91">
        <f t="shared" si="67"/>
        <v>0.77199999999995772</v>
      </c>
      <c r="AO88" s="91">
        <f t="shared" si="64"/>
        <v>0.8610000000000263</v>
      </c>
      <c r="AP88" s="91">
        <v>0.55899999999999461</v>
      </c>
    </row>
    <row r="89" spans="2:43">
      <c r="B89" s="470"/>
      <c r="D89" s="36" t="s">
        <v>174</v>
      </c>
      <c r="E89" s="91">
        <v>184.38449999999997</v>
      </c>
      <c r="F89" s="91">
        <v>188.63199999999992</v>
      </c>
      <c r="G89" s="91">
        <v>209.88349999999997</v>
      </c>
      <c r="H89" s="91">
        <v>248.786</v>
      </c>
      <c r="I89" s="91">
        <v>276.8189999999999</v>
      </c>
      <c r="J89" s="91">
        <v>318.24200000000008</v>
      </c>
      <c r="K89" s="91">
        <v>311.59900000000005</v>
      </c>
      <c r="L89" s="91">
        <v>285.63299999999992</v>
      </c>
      <c r="M89" s="91">
        <v>307.13699999999983</v>
      </c>
      <c r="N89" s="91">
        <v>334.52299999999985</v>
      </c>
      <c r="O89" s="91">
        <v>401.98450000000008</v>
      </c>
      <c r="P89" s="91">
        <v>397.22899999999976</v>
      </c>
      <c r="R89" s="91">
        <f t="shared" ref="R89:AK89" si="69">R10-R26-R35-R53-R62-R80</f>
        <v>82.857500000000002</v>
      </c>
      <c r="S89" s="91">
        <f t="shared" si="69"/>
        <v>101.52700000000004</v>
      </c>
      <c r="T89" s="91">
        <f t="shared" si="69"/>
        <v>82.775999999999982</v>
      </c>
      <c r="U89" s="91">
        <f t="shared" si="69"/>
        <v>105.85599999999994</v>
      </c>
      <c r="V89" s="91">
        <f t="shared" si="69"/>
        <v>96.515500000000003</v>
      </c>
      <c r="W89" s="91">
        <f t="shared" si="69"/>
        <v>113.36800000000007</v>
      </c>
      <c r="X89" s="91">
        <f t="shared" si="69"/>
        <v>110.47649999999999</v>
      </c>
      <c r="Y89" s="91">
        <f t="shared" si="69"/>
        <v>138.3094999999999</v>
      </c>
      <c r="Z89" s="91">
        <f t="shared" si="69"/>
        <v>128.12950000000004</v>
      </c>
      <c r="AA89" s="91">
        <f t="shared" si="69"/>
        <v>148.68950000000001</v>
      </c>
      <c r="AB89" s="91">
        <f t="shared" si="69"/>
        <v>139.33700000000005</v>
      </c>
      <c r="AC89" s="91">
        <f t="shared" si="69"/>
        <v>178.90500000000003</v>
      </c>
      <c r="AD89" s="91">
        <f t="shared" si="69"/>
        <v>143.16150000000005</v>
      </c>
      <c r="AE89" s="91">
        <f t="shared" si="69"/>
        <v>168.4375</v>
      </c>
      <c r="AF89" s="91">
        <f t="shared" si="69"/>
        <v>133.66750000000005</v>
      </c>
      <c r="AG89" s="91">
        <f t="shared" si="69"/>
        <v>151.96549999999993</v>
      </c>
      <c r="AH89" s="91">
        <f t="shared" si="69"/>
        <v>133.52749999999997</v>
      </c>
      <c r="AI89" s="91">
        <f t="shared" si="69"/>
        <v>173.60950000000005</v>
      </c>
      <c r="AJ89" s="91">
        <f t="shared" si="69"/>
        <v>153.87750000000003</v>
      </c>
      <c r="AK89" s="91">
        <f t="shared" si="69"/>
        <v>180.64549999999991</v>
      </c>
      <c r="AL89" s="91">
        <f>AL10-AL26-AL35-AL53-AL62-AL80</f>
        <v>168.92349999999996</v>
      </c>
      <c r="AM89" s="91">
        <f t="shared" si="67"/>
        <v>207.17400000000004</v>
      </c>
      <c r="AN89" s="91">
        <f t="shared" si="67"/>
        <v>192.01800000000011</v>
      </c>
      <c r="AO89" s="91">
        <f t="shared" si="64"/>
        <v>205.21099999999964</v>
      </c>
      <c r="AP89" s="91">
        <v>202.84000000000006</v>
      </c>
    </row>
    <row r="90" spans="2:43">
      <c r="B90" s="470"/>
      <c r="D90" s="116" t="s">
        <v>175</v>
      </c>
      <c r="E90" s="142">
        <v>276.90649999999971</v>
      </c>
      <c r="F90" s="142">
        <v>293.24399999999986</v>
      </c>
      <c r="G90" s="142">
        <v>313.85250000000025</v>
      </c>
      <c r="H90" s="142">
        <v>365.97400000000027</v>
      </c>
      <c r="I90" s="142">
        <v>412.27799999999996</v>
      </c>
      <c r="J90" s="142">
        <v>436.12999999999982</v>
      </c>
      <c r="K90" s="142">
        <v>414.45799999999963</v>
      </c>
      <c r="L90" s="142">
        <v>430.42699999999979</v>
      </c>
      <c r="M90" s="142">
        <v>465.44899999999973</v>
      </c>
      <c r="N90" s="142">
        <v>496.53599999999994</v>
      </c>
      <c r="O90" s="142">
        <v>570.6555000000003</v>
      </c>
      <c r="P90" s="142">
        <v>553.7120000000001</v>
      </c>
      <c r="Q90" s="82"/>
      <c r="R90" s="142">
        <f>SUM(R84:R89)</f>
        <v>115.05050000000016</v>
      </c>
      <c r="S90" s="142">
        <f t="shared" ref="S90" si="70">SUM(S84:S89)</f>
        <v>161.85599999999997</v>
      </c>
      <c r="T90" s="142">
        <f t="shared" ref="T90" si="71">SUM(T84:T89)</f>
        <v>132.60199999999983</v>
      </c>
      <c r="U90" s="142">
        <f t="shared" ref="U90" si="72">SUM(U84:U89)</f>
        <v>160.5359999999998</v>
      </c>
      <c r="V90" s="142">
        <f t="shared" ref="V90" si="73">SUM(V84:V89)</f>
        <v>142.99950000000018</v>
      </c>
      <c r="W90" s="142">
        <f t="shared" ref="W90" si="74">SUM(W84:W89)</f>
        <v>171.6989999999999</v>
      </c>
      <c r="X90" s="142">
        <f t="shared" ref="X90" si="75">SUM(X84:X89)</f>
        <v>160.93150000000009</v>
      </c>
      <c r="Y90" s="142">
        <f t="shared" ref="Y90" si="76">SUM(Y84:Y89)</f>
        <v>205.04249999999976</v>
      </c>
      <c r="Z90" s="142">
        <f t="shared" ref="Z90" si="77">SUM(Z84:Z89)</f>
        <v>189.31050000000002</v>
      </c>
      <c r="AA90" s="142">
        <f t="shared" ref="AA90" si="78">SUM(AA84:AA89)</f>
        <v>222.9675000000002</v>
      </c>
      <c r="AB90" s="142">
        <f t="shared" ref="AB90" si="79">SUM(AB84:AB89)</f>
        <v>196.40199999999996</v>
      </c>
      <c r="AC90" s="142">
        <f>SUM(AC84:AC89)</f>
        <v>239.72799999999955</v>
      </c>
      <c r="AD90" s="142">
        <f t="shared" ref="AD90" si="80">SUM(AD84:AD89)</f>
        <v>189.6225</v>
      </c>
      <c r="AE90" s="142">
        <f t="shared" ref="AE90" si="81">SUM(AE84:AE89)</f>
        <v>224.83549999999957</v>
      </c>
      <c r="AF90" s="142">
        <f t="shared" ref="AF90" si="82">SUM(AF84:AF89)</f>
        <v>200.22249999999991</v>
      </c>
      <c r="AG90" s="142">
        <f t="shared" ref="AG90" si="83">SUM(AG84:AG89)</f>
        <v>230.20450000000011</v>
      </c>
      <c r="AH90" s="142">
        <f t="shared" ref="AH90" si="84">SUM(AH84:AH89)</f>
        <v>201.16250000000002</v>
      </c>
      <c r="AI90" s="142">
        <f t="shared" ref="AI90" si="85">SUM(AI84:AI89)</f>
        <v>264.28649999999982</v>
      </c>
      <c r="AJ90" s="142">
        <f t="shared" ref="AJ90" si="86">SUM(AJ84:AJ89)</f>
        <v>226.67449999999982</v>
      </c>
      <c r="AK90" s="142">
        <f t="shared" ref="AK90" si="87">SUM(AK84:AK89)</f>
        <v>269.86150000000021</v>
      </c>
      <c r="AL90" s="142">
        <f t="shared" ref="AL90" si="88">SUM(AL84:AL89)</f>
        <v>244.53349999999986</v>
      </c>
      <c r="AM90" s="142">
        <f t="shared" ref="AM90:AN90" si="89">SUM(AM84:AM89)</f>
        <v>300.23500000000001</v>
      </c>
      <c r="AN90" s="142">
        <f t="shared" si="89"/>
        <v>263.01699999999977</v>
      </c>
      <c r="AO90" s="142">
        <f t="shared" si="64"/>
        <v>290.69500000000033</v>
      </c>
      <c r="AP90" s="142">
        <v>274.79899999999981</v>
      </c>
    </row>
    <row r="91" spans="2:4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row>
    <row r="92" spans="2:43" s="12" customFormat="1">
      <c r="D92" s="132" t="s">
        <v>94</v>
      </c>
      <c r="AN92" s="211"/>
      <c r="AO92" s="211"/>
      <c r="AP92" s="211"/>
    </row>
    <row r="93" spans="2:43">
      <c r="D93" s="158" t="s">
        <v>655</v>
      </c>
      <c r="Q93" s="159"/>
    </row>
    <row r="94" spans="2:43">
      <c r="O94" s="82"/>
      <c r="P94" s="82"/>
      <c r="Q94" s="435"/>
      <c r="AK94" s="82"/>
      <c r="AL94" s="82"/>
      <c r="AM94" s="82"/>
      <c r="AN94" s="82"/>
      <c r="AO94" s="82"/>
      <c r="AP94" s="82"/>
    </row>
    <row r="95" spans="2:43" ht="14.25">
      <c r="D95" s="396" t="s">
        <v>734</v>
      </c>
    </row>
  </sheetData>
  <mergeCells count="4">
    <mergeCell ref="B5:B18"/>
    <mergeCell ref="B74:B90"/>
    <mergeCell ref="B20:B45"/>
    <mergeCell ref="B47:B72"/>
  </mergeCells>
  <pageMargins left="0.25" right="0.25" top="0.75" bottom="0.75" header="0.3" footer="0.3"/>
  <pageSetup paperSize="9" scale="2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7F83"/>
  </sheetPr>
  <dimension ref="A2:AR60"/>
  <sheetViews>
    <sheetView zoomScale="90" zoomScaleNormal="90" workbookViewId="0">
      <pane xSplit="5" ySplit="5" topLeftCell="F6" activePane="bottomRight" state="frozen"/>
      <selection pane="topRight" activeCell="F1" sqref="F1"/>
      <selection pane="bottomLeft" activeCell="A4" sqref="A4"/>
      <selection pane="bottomRight" activeCell="A21" sqref="A21:XFD21"/>
    </sheetView>
  </sheetViews>
  <sheetFormatPr defaultColWidth="9.140625" defaultRowHeight="12"/>
  <cols>
    <col min="1" max="1" width="1.7109375" style="6" customWidth="1"/>
    <col min="2" max="2" width="4.42578125" style="6" customWidth="1"/>
    <col min="3" max="3" width="0.85546875" style="6" customWidth="1"/>
    <col min="4" max="4" width="36.5703125" style="6" customWidth="1"/>
    <col min="5" max="5" width="14" style="6" customWidth="1"/>
    <col min="6" max="6" width="6" style="6" bestFit="1" customWidth="1"/>
    <col min="7" max="8" width="5" style="6" bestFit="1" customWidth="1"/>
    <col min="9" max="17" width="6" style="6" bestFit="1" customWidth="1"/>
    <col min="18" max="18" width="2.5703125" style="9" customWidth="1"/>
    <col min="19" max="28" width="5.5703125" style="173" bestFit="1" customWidth="1"/>
    <col min="29" max="31" width="6" style="173" bestFit="1" customWidth="1"/>
    <col min="32" max="32" width="6" style="6" bestFit="1" customWidth="1"/>
    <col min="33" max="43" width="5.5703125" style="6" bestFit="1" customWidth="1"/>
    <col min="44" max="44" width="11.42578125" style="6" bestFit="1" customWidth="1"/>
    <col min="45" max="16384" width="9.140625" style="6"/>
  </cols>
  <sheetData>
    <row r="2" spans="1:43" s="14" customFormat="1">
      <c r="R2" s="123"/>
      <c r="S2" s="180"/>
      <c r="T2" s="180"/>
      <c r="U2" s="180"/>
      <c r="V2" s="180"/>
      <c r="W2" s="180"/>
      <c r="X2" s="180"/>
      <c r="Y2" s="180"/>
      <c r="Z2" s="180"/>
      <c r="AA2" s="180"/>
      <c r="AB2" s="180"/>
      <c r="AC2" s="180"/>
      <c r="AD2" s="180"/>
      <c r="AE2" s="180"/>
    </row>
    <row r="3" spans="1:43" s="14" customFormat="1" ht="12.75">
      <c r="D3" s="115" t="s">
        <v>557</v>
      </c>
      <c r="F3" s="75"/>
      <c r="G3" s="175"/>
      <c r="H3" s="175"/>
      <c r="I3" s="175"/>
      <c r="J3" s="175"/>
      <c r="K3" s="175"/>
      <c r="L3" s="175"/>
      <c r="M3" s="175"/>
      <c r="N3" s="175"/>
      <c r="O3" s="175"/>
      <c r="P3" s="175"/>
      <c r="Q3" s="404"/>
      <c r="R3" s="123"/>
      <c r="S3" s="199"/>
      <c r="T3" s="199"/>
      <c r="U3" s="199"/>
      <c r="V3" s="199"/>
      <c r="W3" s="199"/>
      <c r="X3" s="199"/>
      <c r="Y3" s="199"/>
      <c r="Z3" s="199"/>
      <c r="AA3" s="199"/>
      <c r="AB3" s="199"/>
      <c r="AC3" s="199"/>
      <c r="AD3" s="199"/>
      <c r="AE3" s="199"/>
      <c r="AF3" s="75"/>
      <c r="AG3" s="75"/>
      <c r="AH3" s="75"/>
      <c r="AI3" s="75"/>
      <c r="AJ3" s="75"/>
      <c r="AK3" s="75"/>
      <c r="AL3" s="75"/>
      <c r="AM3" s="175"/>
      <c r="AN3" s="175"/>
      <c r="AO3" s="75"/>
      <c r="AP3" s="404"/>
      <c r="AQ3" s="404"/>
    </row>
    <row r="4" spans="1:43" s="14" customFormat="1">
      <c r="F4" s="198"/>
      <c r="G4" s="198"/>
      <c r="H4" s="198"/>
      <c r="I4" s="198"/>
      <c r="J4" s="198"/>
      <c r="K4" s="198"/>
      <c r="L4" s="198"/>
      <c r="M4" s="198"/>
      <c r="N4" s="198"/>
      <c r="O4" s="198"/>
      <c r="P4" s="198"/>
      <c r="Q4" s="404"/>
      <c r="R4" s="123"/>
      <c r="S4" s="200"/>
      <c r="T4" s="200"/>
      <c r="U4" s="200"/>
      <c r="V4" s="200"/>
      <c r="W4" s="200"/>
      <c r="X4" s="200"/>
      <c r="Y4" s="200"/>
      <c r="Z4" s="200"/>
      <c r="AA4" s="200"/>
      <c r="AB4" s="200"/>
      <c r="AC4" s="200"/>
      <c r="AD4" s="200"/>
      <c r="AE4" s="200"/>
      <c r="AF4" s="198"/>
      <c r="AG4" s="198"/>
      <c r="AH4" s="198"/>
      <c r="AI4" s="198"/>
      <c r="AJ4" s="198"/>
      <c r="AK4" s="198"/>
      <c r="AL4" s="198"/>
      <c r="AM4" s="198"/>
      <c r="AN4" s="198"/>
      <c r="AO4" s="198"/>
      <c r="AP4" s="198"/>
      <c r="AQ4" s="198"/>
    </row>
    <row r="5" spans="1:43" s="10" customFormat="1">
      <c r="A5" s="69"/>
      <c r="B5" s="69"/>
      <c r="D5" s="18"/>
      <c r="E5" s="18" t="s">
        <v>555</v>
      </c>
      <c r="F5" s="224">
        <v>39813</v>
      </c>
      <c r="G5" s="224">
        <v>40178</v>
      </c>
      <c r="H5" s="224">
        <v>40543</v>
      </c>
      <c r="I5" s="224">
        <v>40908</v>
      </c>
      <c r="J5" s="224">
        <v>41274</v>
      </c>
      <c r="K5" s="224">
        <v>41639</v>
      </c>
      <c r="L5" s="224">
        <v>42004</v>
      </c>
      <c r="M5" s="224">
        <v>42369</v>
      </c>
      <c r="N5" s="224">
        <v>42735</v>
      </c>
      <c r="O5" s="224">
        <v>43100</v>
      </c>
      <c r="P5" s="224">
        <v>43465</v>
      </c>
      <c r="Q5" s="224">
        <v>43830</v>
      </c>
      <c r="R5" s="152"/>
      <c r="S5" s="201" t="s">
        <v>352</v>
      </c>
      <c r="T5" s="201" t="s">
        <v>351</v>
      </c>
      <c r="U5" s="201" t="s">
        <v>349</v>
      </c>
      <c r="V5" s="201" t="s">
        <v>350</v>
      </c>
      <c r="W5" s="201" t="s">
        <v>347</v>
      </c>
      <c r="X5" s="201" t="s">
        <v>348</v>
      </c>
      <c r="Y5" s="201" t="s">
        <v>345</v>
      </c>
      <c r="Z5" s="201" t="s">
        <v>346</v>
      </c>
      <c r="AA5" s="201" t="s">
        <v>343</v>
      </c>
      <c r="AB5" s="201" t="s">
        <v>344</v>
      </c>
      <c r="AC5" s="201" t="s">
        <v>95</v>
      </c>
      <c r="AD5" s="201" t="s">
        <v>96</v>
      </c>
      <c r="AE5" s="201" t="s">
        <v>97</v>
      </c>
      <c r="AF5" s="18" t="s">
        <v>98</v>
      </c>
      <c r="AG5" s="18" t="s">
        <v>99</v>
      </c>
      <c r="AH5" s="18" t="s">
        <v>100</v>
      </c>
      <c r="AI5" s="18" t="s">
        <v>101</v>
      </c>
      <c r="AJ5" s="18" t="s">
        <v>102</v>
      </c>
      <c r="AK5" s="18" t="s">
        <v>103</v>
      </c>
      <c r="AL5" s="18" t="s">
        <v>105</v>
      </c>
      <c r="AM5" s="18" t="s">
        <v>106</v>
      </c>
      <c r="AN5" s="18" t="s">
        <v>104</v>
      </c>
      <c r="AO5" s="18" t="s">
        <v>653</v>
      </c>
      <c r="AP5" s="18" t="s">
        <v>758</v>
      </c>
      <c r="AQ5" s="18" t="s">
        <v>795</v>
      </c>
    </row>
    <row r="6" spans="1:43">
      <c r="D6" s="41"/>
      <c r="E6" s="41"/>
      <c r="F6" s="41"/>
      <c r="G6" s="41"/>
      <c r="H6" s="41"/>
      <c r="I6" s="41"/>
      <c r="J6" s="41"/>
      <c r="K6" s="41"/>
      <c r="L6" s="41"/>
      <c r="M6" s="41"/>
      <c r="N6" s="41"/>
      <c r="O6" s="41"/>
      <c r="P6" s="41"/>
      <c r="Q6" s="41"/>
      <c r="S6" s="154"/>
      <c r="T6" s="154"/>
      <c r="U6" s="154"/>
      <c r="V6" s="154"/>
      <c r="W6" s="154"/>
      <c r="X6" s="154"/>
      <c r="Y6" s="154"/>
      <c r="Z6" s="154"/>
      <c r="AA6" s="154"/>
      <c r="AB6" s="154"/>
      <c r="AC6" s="154"/>
      <c r="AD6" s="154"/>
      <c r="AE6" s="154"/>
      <c r="AF6" s="41"/>
      <c r="AG6" s="41"/>
      <c r="AH6" s="41"/>
      <c r="AI6" s="41"/>
      <c r="AJ6" s="41"/>
      <c r="AK6" s="41"/>
      <c r="AL6" s="41"/>
      <c r="AM6" s="41"/>
      <c r="AN6" s="41"/>
      <c r="AO6" s="41"/>
      <c r="AP6" s="41"/>
      <c r="AQ6" s="41"/>
    </row>
    <row r="7" spans="1:43" s="12" customFormat="1">
      <c r="D7" s="116" t="s">
        <v>178</v>
      </c>
      <c r="E7" s="116"/>
      <c r="F7" s="116"/>
      <c r="G7" s="116"/>
      <c r="H7" s="116"/>
      <c r="I7" s="116"/>
      <c r="J7" s="116"/>
      <c r="K7" s="116"/>
      <c r="L7" s="116"/>
      <c r="M7" s="116"/>
      <c r="N7" s="116"/>
      <c r="O7" s="116"/>
      <c r="P7" s="116"/>
      <c r="Q7" s="116"/>
      <c r="R7" s="17"/>
      <c r="S7" s="217"/>
      <c r="T7" s="217"/>
      <c r="U7" s="217"/>
      <c r="V7" s="217"/>
      <c r="W7" s="217"/>
      <c r="X7" s="217"/>
      <c r="Y7" s="217"/>
      <c r="Z7" s="217"/>
      <c r="AA7" s="217"/>
      <c r="AB7" s="217"/>
      <c r="AC7" s="217"/>
      <c r="AD7" s="217"/>
      <c r="AE7" s="217"/>
      <c r="AF7" s="213"/>
      <c r="AG7" s="213"/>
      <c r="AH7" s="213"/>
      <c r="AI7" s="213"/>
      <c r="AJ7" s="213"/>
      <c r="AK7" s="213"/>
      <c r="AL7" s="213"/>
      <c r="AM7" s="213"/>
      <c r="AN7" s="213"/>
      <c r="AO7" s="217"/>
      <c r="AP7" s="217"/>
      <c r="AQ7" s="217"/>
    </row>
    <row r="8" spans="1:43" s="12" customFormat="1" ht="12" customHeight="1">
      <c r="B8" s="471" t="s">
        <v>556</v>
      </c>
      <c r="D8" s="117" t="s">
        <v>195</v>
      </c>
      <c r="E8" s="35"/>
      <c r="F8" s="149"/>
      <c r="G8" s="35"/>
      <c r="H8" s="35"/>
      <c r="I8" s="35"/>
      <c r="J8" s="35"/>
      <c r="K8" s="35"/>
      <c r="L8" s="35"/>
      <c r="M8" s="35"/>
      <c r="N8" s="35"/>
      <c r="O8" s="35"/>
      <c r="P8" s="35"/>
      <c r="Q8" s="35"/>
      <c r="R8" s="9"/>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row>
    <row r="9" spans="1:43" s="12" customFormat="1">
      <c r="B9" s="471"/>
      <c r="D9" s="36" t="s">
        <v>179</v>
      </c>
      <c r="E9" s="36" t="s">
        <v>194</v>
      </c>
      <c r="F9" s="171">
        <v>531.53300000000002</v>
      </c>
      <c r="G9" s="171">
        <v>196</v>
      </c>
      <c r="H9" s="171">
        <v>541.10199999999998</v>
      </c>
      <c r="I9" s="171">
        <v>778.529</v>
      </c>
      <c r="J9" s="171">
        <v>827.22299999999996</v>
      </c>
      <c r="K9" s="171">
        <v>711.375</v>
      </c>
      <c r="L9" s="171">
        <v>657.76199999999994</v>
      </c>
      <c r="M9" s="171">
        <v>376.29599999999999</v>
      </c>
      <c r="N9" s="171">
        <v>264.55399999999997</v>
      </c>
      <c r="O9" s="171">
        <v>205.989</v>
      </c>
      <c r="P9" s="171">
        <v>246.43799999999999</v>
      </c>
      <c r="Q9" s="171">
        <v>328.11200000000002</v>
      </c>
      <c r="R9" s="9"/>
      <c r="S9" s="171">
        <v>250.04900000000001</v>
      </c>
      <c r="T9" s="171">
        <v>281.48399999999998</v>
      </c>
      <c r="U9" s="171">
        <v>81.817999999999998</v>
      </c>
      <c r="V9" s="171">
        <v>114.072</v>
      </c>
      <c r="W9" s="171">
        <v>222.85900000000001</v>
      </c>
      <c r="X9" s="171">
        <f>H9-W9</f>
        <v>318.24299999999994</v>
      </c>
      <c r="Y9" s="171">
        <v>395.33699999999999</v>
      </c>
      <c r="Z9" s="171">
        <f>I9-Y9</f>
        <v>383.19200000000001</v>
      </c>
      <c r="AA9" s="171">
        <v>408.90899999999999</v>
      </c>
      <c r="AB9" s="171">
        <f>J9-AA9</f>
        <v>418.31399999999996</v>
      </c>
      <c r="AC9" s="171">
        <v>371.173</v>
      </c>
      <c r="AD9" s="171">
        <f>K9-AC9</f>
        <v>340.202</v>
      </c>
      <c r="AE9" s="171">
        <v>338.04</v>
      </c>
      <c r="AF9" s="171">
        <f>L9-AE9</f>
        <v>319.72199999999992</v>
      </c>
      <c r="AG9" s="171">
        <v>218.113</v>
      </c>
      <c r="AH9" s="171">
        <f>M9-AG9</f>
        <v>158.18299999999999</v>
      </c>
      <c r="AI9" s="171">
        <v>144.483</v>
      </c>
      <c r="AJ9" s="171">
        <f>N9-AI9</f>
        <v>120.07099999999997</v>
      </c>
      <c r="AK9" s="171">
        <v>113.70399999999999</v>
      </c>
      <c r="AL9" s="171">
        <v>92.284999999999997</v>
      </c>
      <c r="AM9" s="171">
        <v>137.30000000000001</v>
      </c>
      <c r="AN9" s="171">
        <f>P9-AM9</f>
        <v>109.13799999999998</v>
      </c>
      <c r="AO9" s="171">
        <v>168.304</v>
      </c>
      <c r="AP9" s="171">
        <f>Q9-AO9</f>
        <v>159.80800000000002</v>
      </c>
      <c r="AQ9" s="171">
        <v>212.77199999999999</v>
      </c>
    </row>
    <row r="10" spans="1:43" s="12" customFormat="1">
      <c r="B10" s="471"/>
      <c r="D10" s="36" t="s">
        <v>180</v>
      </c>
      <c r="E10" s="36" t="s">
        <v>194</v>
      </c>
      <c r="F10" s="171">
        <v>400.72399999999999</v>
      </c>
      <c r="G10" s="171">
        <v>159.751</v>
      </c>
      <c r="H10" s="171">
        <v>254.297</v>
      </c>
      <c r="I10" s="171">
        <v>338.69</v>
      </c>
      <c r="J10" s="171">
        <v>396.54300000000001</v>
      </c>
      <c r="K10" s="171">
        <v>474.61900000000003</v>
      </c>
      <c r="L10" s="171">
        <v>474.67500000000001</v>
      </c>
      <c r="M10" s="171">
        <v>353.17099999999999</v>
      </c>
      <c r="N10" s="171">
        <v>301.31299999999999</v>
      </c>
      <c r="O10" s="171">
        <v>370.75099999999998</v>
      </c>
      <c r="P10" s="171">
        <v>419.19499999999999</v>
      </c>
      <c r="Q10" s="171">
        <v>394.791</v>
      </c>
      <c r="R10" s="9"/>
      <c r="S10" s="171">
        <v>203.43100000000001</v>
      </c>
      <c r="T10" s="171">
        <v>197.29300000000001</v>
      </c>
      <c r="U10" s="171">
        <v>79.084999999999994</v>
      </c>
      <c r="V10" s="171">
        <v>80.665999999999997</v>
      </c>
      <c r="W10" s="171">
        <v>104.944</v>
      </c>
      <c r="X10" s="171">
        <f>H10-W10</f>
        <v>149.35300000000001</v>
      </c>
      <c r="Y10" s="171">
        <v>162.57</v>
      </c>
      <c r="Z10" s="171">
        <f>I10-Y10</f>
        <v>176.12</v>
      </c>
      <c r="AA10" s="171">
        <v>191.32499999999999</v>
      </c>
      <c r="AB10" s="171">
        <f>J10-AA10</f>
        <v>205.21800000000002</v>
      </c>
      <c r="AC10" s="171">
        <v>224.02699999999999</v>
      </c>
      <c r="AD10" s="171">
        <f>K10-AC10</f>
        <v>250.59200000000004</v>
      </c>
      <c r="AE10" s="171">
        <v>243.46100000000001</v>
      </c>
      <c r="AF10" s="171">
        <f>L10-AE10</f>
        <v>231.214</v>
      </c>
      <c r="AG10" s="171">
        <v>192.97900000000001</v>
      </c>
      <c r="AH10" s="171">
        <f>M10-AG10</f>
        <v>160.19199999999998</v>
      </c>
      <c r="AI10" s="171">
        <v>141.99199999999999</v>
      </c>
      <c r="AJ10" s="171">
        <f>N10-AI10</f>
        <v>159.321</v>
      </c>
      <c r="AK10" s="171">
        <v>174.35300000000001</v>
      </c>
      <c r="AL10" s="171">
        <v>196.398</v>
      </c>
      <c r="AM10" s="171">
        <v>202.40799999999999</v>
      </c>
      <c r="AN10" s="171">
        <f>P10-AM10</f>
        <v>216.78700000000001</v>
      </c>
      <c r="AO10" s="171">
        <v>196.52799999999999</v>
      </c>
      <c r="AP10" s="171">
        <f t="shared" ref="AP10:AP12" si="0">Q10-AO10</f>
        <v>198.26300000000001</v>
      </c>
      <c r="AQ10" s="171">
        <v>212.72399999999999</v>
      </c>
    </row>
    <row r="11" spans="1:43" s="12" customFormat="1">
      <c r="B11" s="471"/>
      <c r="D11" s="36" t="s">
        <v>181</v>
      </c>
      <c r="E11" s="36" t="s">
        <v>194</v>
      </c>
      <c r="F11" s="216" t="s">
        <v>694</v>
      </c>
      <c r="G11" s="216" t="s">
        <v>694</v>
      </c>
      <c r="H11" s="216" t="s">
        <v>694</v>
      </c>
      <c r="I11" s="216" t="s">
        <v>694</v>
      </c>
      <c r="J11" s="216" t="s">
        <v>694</v>
      </c>
      <c r="K11" s="171">
        <v>1083.904</v>
      </c>
      <c r="L11" s="171">
        <v>940.77099999999996</v>
      </c>
      <c r="M11" s="171">
        <v>577.56500000000005</v>
      </c>
      <c r="N11" s="171">
        <v>480.43900000000002</v>
      </c>
      <c r="O11" s="171">
        <v>553.81600000000003</v>
      </c>
      <c r="P11" s="171">
        <v>617.03800000000001</v>
      </c>
      <c r="Q11" s="171">
        <v>654.00300000000004</v>
      </c>
      <c r="R11" s="9"/>
      <c r="S11" s="216" t="s">
        <v>694</v>
      </c>
      <c r="T11" s="216" t="s">
        <v>694</v>
      </c>
      <c r="U11" s="216" t="s">
        <v>694</v>
      </c>
      <c r="V11" s="216" t="s">
        <v>694</v>
      </c>
      <c r="W11" s="216" t="s">
        <v>694</v>
      </c>
      <c r="X11" s="216" t="s">
        <v>694</v>
      </c>
      <c r="Y11" s="216" t="s">
        <v>694</v>
      </c>
      <c r="Z11" s="216" t="s">
        <v>694</v>
      </c>
      <c r="AA11" s="216" t="s">
        <v>694</v>
      </c>
      <c r="AB11" s="216" t="s">
        <v>694</v>
      </c>
      <c r="AC11" s="171">
        <v>540.34</v>
      </c>
      <c r="AD11" s="171">
        <f>K11-AC11</f>
        <v>543.56399999999996</v>
      </c>
      <c r="AE11" s="171">
        <v>486.803</v>
      </c>
      <c r="AF11" s="171">
        <f>L11-AE11</f>
        <v>453.96799999999996</v>
      </c>
      <c r="AG11" s="171">
        <v>303.52699999999999</v>
      </c>
      <c r="AH11" s="171">
        <f>M11-AG11</f>
        <v>274.03800000000007</v>
      </c>
      <c r="AI11" s="171">
        <v>251.227</v>
      </c>
      <c r="AJ11" s="171">
        <f>N11-AI11</f>
        <v>229.21200000000002</v>
      </c>
      <c r="AK11" s="171">
        <v>263.77100000000002</v>
      </c>
      <c r="AL11" s="171">
        <v>290.04500000000002</v>
      </c>
      <c r="AM11" s="171">
        <v>302.43200000000002</v>
      </c>
      <c r="AN11" s="171">
        <f>P11-AM11</f>
        <v>314.60599999999999</v>
      </c>
      <c r="AO11" s="171">
        <v>320.45499999999998</v>
      </c>
      <c r="AP11" s="171">
        <f t="shared" si="0"/>
        <v>333.54800000000006</v>
      </c>
      <c r="AQ11" s="171">
        <v>321.84199999999998</v>
      </c>
    </row>
    <row r="12" spans="1:43" s="12" customFormat="1">
      <c r="B12" s="471"/>
      <c r="D12" s="36" t="s">
        <v>182</v>
      </c>
      <c r="E12" s="36" t="s">
        <v>194</v>
      </c>
      <c r="F12" s="216" t="s">
        <v>694</v>
      </c>
      <c r="G12" s="216" t="s">
        <v>694</v>
      </c>
      <c r="H12" s="216" t="s">
        <v>694</v>
      </c>
      <c r="I12" s="216" t="s">
        <v>694</v>
      </c>
      <c r="J12" s="216" t="s">
        <v>694</v>
      </c>
      <c r="K12" s="171">
        <v>61.57</v>
      </c>
      <c r="L12" s="171">
        <v>103.503</v>
      </c>
      <c r="M12" s="171">
        <v>85.870999999999995</v>
      </c>
      <c r="N12" s="171">
        <v>82.203000000000003</v>
      </c>
      <c r="O12" s="171">
        <v>74.132999999999996</v>
      </c>
      <c r="P12" s="171">
        <v>68.89</v>
      </c>
      <c r="Q12" s="171">
        <v>62.082000000000001</v>
      </c>
      <c r="R12" s="9"/>
      <c r="S12" s="216" t="s">
        <v>694</v>
      </c>
      <c r="T12" s="216" t="s">
        <v>694</v>
      </c>
      <c r="U12" s="216" t="s">
        <v>694</v>
      </c>
      <c r="V12" s="216" t="s">
        <v>694</v>
      </c>
      <c r="W12" s="216" t="s">
        <v>694</v>
      </c>
      <c r="X12" s="216" t="s">
        <v>694</v>
      </c>
      <c r="Y12" s="216" t="s">
        <v>694</v>
      </c>
      <c r="Z12" s="216" t="s">
        <v>694</v>
      </c>
      <c r="AA12" s="216" t="s">
        <v>694</v>
      </c>
      <c r="AB12" s="216" t="s">
        <v>694</v>
      </c>
      <c r="AC12" s="171">
        <v>20.777000000000001</v>
      </c>
      <c r="AD12" s="171">
        <f>K12-AC12</f>
        <v>40.792999999999999</v>
      </c>
      <c r="AE12" s="171">
        <v>51.134999999999998</v>
      </c>
      <c r="AF12" s="171">
        <f>L12-AE12</f>
        <v>52.368000000000002</v>
      </c>
      <c r="AG12" s="171">
        <v>38.69</v>
      </c>
      <c r="AH12" s="171">
        <f>M12-AG12</f>
        <v>47.180999999999997</v>
      </c>
      <c r="AI12" s="171">
        <v>36.869</v>
      </c>
      <c r="AJ12" s="171">
        <f>N12-AI12</f>
        <v>45.334000000000003</v>
      </c>
      <c r="AK12" s="171">
        <v>35.299999999999997</v>
      </c>
      <c r="AL12" s="171">
        <v>38.832999999999998</v>
      </c>
      <c r="AM12" s="171">
        <v>38.676000000000002</v>
      </c>
      <c r="AN12" s="171">
        <f>P12-AM12</f>
        <v>30.213999999999999</v>
      </c>
      <c r="AO12" s="171">
        <v>29.172999999999998</v>
      </c>
      <c r="AP12" s="171">
        <f t="shared" si="0"/>
        <v>32.909000000000006</v>
      </c>
      <c r="AQ12" s="171">
        <v>26.945</v>
      </c>
    </row>
    <row r="13" spans="1:43" s="12" customFormat="1">
      <c r="B13" s="471"/>
      <c r="D13" s="36" t="s">
        <v>185</v>
      </c>
      <c r="E13" s="36"/>
      <c r="F13" s="214">
        <v>219.43600000000001</v>
      </c>
      <c r="G13" s="171">
        <v>105.471</v>
      </c>
      <c r="H13" s="171">
        <v>141.0248</v>
      </c>
      <c r="I13" s="171">
        <v>227.244</v>
      </c>
      <c r="J13" s="171">
        <v>226.029</v>
      </c>
      <c r="K13" s="171">
        <v>219.27324999999999</v>
      </c>
      <c r="L13" s="216" t="s">
        <v>694</v>
      </c>
      <c r="M13" s="216" t="s">
        <v>694</v>
      </c>
      <c r="N13" s="216" t="s">
        <v>694</v>
      </c>
      <c r="O13" s="216" t="s">
        <v>694</v>
      </c>
      <c r="P13" s="216" t="s">
        <v>694</v>
      </c>
      <c r="Q13" s="216" t="s">
        <v>694</v>
      </c>
      <c r="R13" s="9"/>
      <c r="S13" s="216" t="s">
        <v>694</v>
      </c>
      <c r="T13" s="216" t="s">
        <v>694</v>
      </c>
      <c r="U13" s="216" t="s">
        <v>694</v>
      </c>
      <c r="V13" s="216" t="s">
        <v>694</v>
      </c>
      <c r="W13" s="171">
        <v>62.567900000000002</v>
      </c>
      <c r="X13" s="171">
        <v>78.45689999999999</v>
      </c>
      <c r="Y13" s="171">
        <v>111.22450000000001</v>
      </c>
      <c r="Z13" s="171">
        <v>116.01949999999999</v>
      </c>
      <c r="AA13" s="171">
        <v>108.848</v>
      </c>
      <c r="AB13" s="171">
        <v>117.181</v>
      </c>
      <c r="AC13" s="171">
        <v>111.788</v>
      </c>
      <c r="AD13" s="171">
        <v>107.48524999999999</v>
      </c>
      <c r="AE13" s="216" t="s">
        <v>694</v>
      </c>
      <c r="AF13" s="216" t="s">
        <v>694</v>
      </c>
      <c r="AG13" s="216" t="s">
        <v>694</v>
      </c>
      <c r="AH13" s="216" t="s">
        <v>694</v>
      </c>
      <c r="AI13" s="216" t="s">
        <v>694</v>
      </c>
      <c r="AJ13" s="216" t="s">
        <v>694</v>
      </c>
      <c r="AK13" s="216" t="s">
        <v>694</v>
      </c>
      <c r="AL13" s="216" t="s">
        <v>694</v>
      </c>
      <c r="AM13" s="216" t="s">
        <v>694</v>
      </c>
      <c r="AN13" s="216" t="s">
        <v>694</v>
      </c>
      <c r="AO13" s="216" t="s">
        <v>694</v>
      </c>
      <c r="AP13" s="216" t="s">
        <v>694</v>
      </c>
      <c r="AQ13" s="216" t="s">
        <v>694</v>
      </c>
    </row>
    <row r="14" spans="1:43" s="12" customFormat="1">
      <c r="B14" s="471"/>
      <c r="D14" s="36"/>
      <c r="E14" s="36"/>
      <c r="F14" s="150"/>
      <c r="G14" s="150"/>
      <c r="H14" s="150"/>
      <c r="I14" s="150"/>
      <c r="J14" s="150"/>
      <c r="K14" s="150"/>
      <c r="L14" s="150"/>
      <c r="M14" s="150"/>
      <c r="N14" s="150"/>
      <c r="O14" s="150"/>
      <c r="P14" s="150"/>
      <c r="Q14" s="150"/>
      <c r="R14" s="9"/>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row>
    <row r="15" spans="1:43" s="12" customFormat="1">
      <c r="B15" s="471"/>
      <c r="D15" s="118" t="s">
        <v>183</v>
      </c>
      <c r="E15" s="36"/>
      <c r="F15" s="150"/>
      <c r="G15" s="150"/>
      <c r="H15" s="150"/>
      <c r="I15" s="150"/>
      <c r="J15" s="150"/>
      <c r="K15" s="150"/>
      <c r="L15" s="150"/>
      <c r="M15" s="150"/>
      <c r="N15" s="150"/>
      <c r="O15" s="150"/>
      <c r="P15" s="150"/>
      <c r="Q15" s="150"/>
      <c r="R15" s="9"/>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row>
    <row r="16" spans="1:43" s="12" customFormat="1" ht="12.75" customHeight="1">
      <c r="B16" s="471"/>
      <c r="D16" s="36" t="s">
        <v>189</v>
      </c>
      <c r="E16" s="36" t="s">
        <v>190</v>
      </c>
      <c r="F16" s="171">
        <v>29</v>
      </c>
      <c r="G16" s="171">
        <v>9</v>
      </c>
      <c r="H16" s="171">
        <v>14.558</v>
      </c>
      <c r="I16" s="171">
        <v>21.85</v>
      </c>
      <c r="J16" s="171">
        <v>23.581</v>
      </c>
      <c r="K16" s="171">
        <v>23.539000000000001</v>
      </c>
      <c r="L16" s="171">
        <v>22.53</v>
      </c>
      <c r="M16" s="171">
        <v>13.118</v>
      </c>
      <c r="N16" s="171">
        <v>14.848000000000001</v>
      </c>
      <c r="O16" s="171">
        <v>23.9</v>
      </c>
      <c r="P16" s="171">
        <v>20.3</v>
      </c>
      <c r="Q16" s="171">
        <v>20.035</v>
      </c>
      <c r="R16" s="9"/>
      <c r="S16" s="216" t="s">
        <v>694</v>
      </c>
      <c r="T16" s="216" t="s">
        <v>694</v>
      </c>
      <c r="U16" s="216" t="s">
        <v>694</v>
      </c>
      <c r="V16" s="216" t="s">
        <v>694</v>
      </c>
      <c r="W16" s="171">
        <v>6.234</v>
      </c>
      <c r="X16" s="171">
        <f>H16-W16</f>
        <v>8.3239999999999998</v>
      </c>
      <c r="Y16" s="171">
        <v>10.853999999999999</v>
      </c>
      <c r="Z16" s="171">
        <f t="shared" ref="Z16:Z18" si="1">I16-Y16</f>
        <v>10.996000000000002</v>
      </c>
      <c r="AA16" s="171">
        <v>11.707000000000001</v>
      </c>
      <c r="AB16" s="171">
        <f t="shared" ref="AB16:AB18" si="2">J16-AA16</f>
        <v>11.873999999999999</v>
      </c>
      <c r="AC16" s="171">
        <v>9.8989999999999991</v>
      </c>
      <c r="AD16" s="171">
        <f t="shared" ref="AD16:AD18" si="3">K16-AC16</f>
        <v>13.640000000000002</v>
      </c>
      <c r="AE16" s="171">
        <v>12.304</v>
      </c>
      <c r="AF16" s="171">
        <f>L16-AE16</f>
        <v>10.226000000000001</v>
      </c>
      <c r="AG16" s="171">
        <v>6.4429999999999996</v>
      </c>
      <c r="AH16" s="171">
        <f>M16-AG16</f>
        <v>6.6750000000000007</v>
      </c>
      <c r="AI16" s="215">
        <v>6.641</v>
      </c>
      <c r="AJ16" s="171">
        <f>N16-AI16</f>
        <v>8.2070000000000007</v>
      </c>
      <c r="AK16" s="215">
        <v>10.7</v>
      </c>
      <c r="AL16" s="171">
        <v>13.695</v>
      </c>
      <c r="AM16" s="215">
        <v>10.7</v>
      </c>
      <c r="AN16" s="171">
        <f>P16-AM16</f>
        <v>9.6000000000000014</v>
      </c>
      <c r="AO16" s="171">
        <v>9.9260000000000002</v>
      </c>
      <c r="AP16" s="171">
        <f t="shared" ref="AP16:AP18" si="4">Q16-AO16</f>
        <v>10.109</v>
      </c>
      <c r="AQ16" s="171">
        <v>9.0549999999999997</v>
      </c>
    </row>
    <row r="17" spans="2:44" s="12" customFormat="1">
      <c r="B17" s="471"/>
      <c r="D17" s="36" t="s">
        <v>192</v>
      </c>
      <c r="E17" s="36" t="s">
        <v>190</v>
      </c>
      <c r="F17" s="171">
        <v>36</v>
      </c>
      <c r="G17" s="171">
        <v>28</v>
      </c>
      <c r="H17" s="171">
        <v>44.786000000000001</v>
      </c>
      <c r="I17" s="171">
        <v>69.975999999999999</v>
      </c>
      <c r="J17" s="171">
        <v>105.169</v>
      </c>
      <c r="K17" s="171">
        <v>108.08199999999999</v>
      </c>
      <c r="L17" s="171">
        <v>113.538</v>
      </c>
      <c r="M17" s="171">
        <v>100.51300000000001</v>
      </c>
      <c r="N17" s="171">
        <v>96.393000000000001</v>
      </c>
      <c r="O17" s="171">
        <v>95.4</v>
      </c>
      <c r="P17" s="171">
        <v>121.074</v>
      </c>
      <c r="Q17" s="171">
        <v>103.334</v>
      </c>
      <c r="R17" s="9"/>
      <c r="S17" s="216" t="s">
        <v>694</v>
      </c>
      <c r="T17" s="216" t="s">
        <v>694</v>
      </c>
      <c r="U17" s="216" t="s">
        <v>694</v>
      </c>
      <c r="V17" s="216" t="s">
        <v>694</v>
      </c>
      <c r="W17" s="171">
        <v>16.088000000000001</v>
      </c>
      <c r="X17" s="171">
        <f>H17-W17</f>
        <v>28.698</v>
      </c>
      <c r="Y17" s="171">
        <v>30.548999999999999</v>
      </c>
      <c r="Z17" s="171">
        <f t="shared" si="1"/>
        <v>39.427</v>
      </c>
      <c r="AA17" s="171">
        <v>53.62</v>
      </c>
      <c r="AB17" s="171">
        <f t="shared" si="2"/>
        <v>51.548999999999999</v>
      </c>
      <c r="AC17" s="171">
        <v>50.97</v>
      </c>
      <c r="AD17" s="171">
        <f t="shared" si="3"/>
        <v>57.111999999999995</v>
      </c>
      <c r="AE17" s="171">
        <v>61.74</v>
      </c>
      <c r="AF17" s="171">
        <f>L17-AE17</f>
        <v>51.797999999999995</v>
      </c>
      <c r="AG17" s="171">
        <v>56.42</v>
      </c>
      <c r="AH17" s="171">
        <f>M17-AG17</f>
        <v>44.093000000000004</v>
      </c>
      <c r="AI17" s="215">
        <v>46.304000000000002</v>
      </c>
      <c r="AJ17" s="171">
        <f>N17-AI17</f>
        <v>50.088999999999999</v>
      </c>
      <c r="AK17" s="215">
        <v>38.222999999999999</v>
      </c>
      <c r="AL17" s="171">
        <v>53.69</v>
      </c>
      <c r="AM17" s="171">
        <v>59.9</v>
      </c>
      <c r="AN17" s="171">
        <f>P17-AM17</f>
        <v>61.173999999999999</v>
      </c>
      <c r="AO17" s="171">
        <v>55.225000000000001</v>
      </c>
      <c r="AP17" s="171">
        <f t="shared" si="4"/>
        <v>48.109000000000002</v>
      </c>
      <c r="AQ17" s="171">
        <v>33.664000000000001</v>
      </c>
    </row>
    <row r="18" spans="2:44" s="12" customFormat="1" ht="11.25" customHeight="1">
      <c r="B18" s="471"/>
      <c r="D18" s="36" t="s">
        <v>193</v>
      </c>
      <c r="E18" s="36" t="s">
        <v>760</v>
      </c>
      <c r="F18" s="215">
        <v>1.758</v>
      </c>
      <c r="G18" s="215">
        <v>0.91400000000000003</v>
      </c>
      <c r="H18" s="215">
        <v>0.97499999999999998</v>
      </c>
      <c r="I18" s="215">
        <v>0.878</v>
      </c>
      <c r="J18" s="215">
        <v>1.2170000000000001</v>
      </c>
      <c r="K18" s="215">
        <v>0.85328303399999994</v>
      </c>
      <c r="L18" s="215">
        <v>0.751</v>
      </c>
      <c r="M18" s="215">
        <v>1.3640000000000001</v>
      </c>
      <c r="N18" s="215">
        <v>2.2360000000000002</v>
      </c>
      <c r="O18" s="215">
        <v>2.69505404</v>
      </c>
      <c r="P18" s="215">
        <v>3.1227988887999998</v>
      </c>
      <c r="Q18" s="215">
        <v>3.657890273</v>
      </c>
      <c r="R18" s="9"/>
      <c r="S18" s="216" t="s">
        <v>694</v>
      </c>
      <c r="T18" s="216" t="s">
        <v>694</v>
      </c>
      <c r="U18" s="216" t="s">
        <v>694</v>
      </c>
      <c r="V18" s="216" t="s">
        <v>694</v>
      </c>
      <c r="W18" s="215">
        <v>0.40799999999999997</v>
      </c>
      <c r="X18" s="215">
        <f>H18-W18</f>
        <v>0.56699999999999995</v>
      </c>
      <c r="Y18" s="215">
        <v>0.32300000000000001</v>
      </c>
      <c r="Z18" s="215">
        <f t="shared" si="1"/>
        <v>0.55499999999999994</v>
      </c>
      <c r="AA18" s="215">
        <v>0.53800000000000003</v>
      </c>
      <c r="AB18" s="215">
        <f t="shared" si="2"/>
        <v>0.67900000000000005</v>
      </c>
      <c r="AC18" s="215">
        <v>0.47799999999999998</v>
      </c>
      <c r="AD18" s="215">
        <f t="shared" si="3"/>
        <v>0.37528303399999996</v>
      </c>
      <c r="AE18" s="215">
        <v>0.41199999999999998</v>
      </c>
      <c r="AF18" s="215">
        <f>L18-AE18</f>
        <v>0.33900000000000002</v>
      </c>
      <c r="AG18" s="215">
        <v>0.52500000000000002</v>
      </c>
      <c r="AH18" s="215">
        <f>M18-AG18</f>
        <v>0.83900000000000008</v>
      </c>
      <c r="AI18" s="215">
        <v>0.93899999999999995</v>
      </c>
      <c r="AJ18" s="215">
        <f>N18-AI18</f>
        <v>1.2970000000000002</v>
      </c>
      <c r="AK18" s="215">
        <v>1.3320000000000001</v>
      </c>
      <c r="AL18" s="215">
        <v>1.3694655820000001</v>
      </c>
      <c r="AM18" s="215">
        <v>1.613</v>
      </c>
      <c r="AN18" s="215">
        <f>P18-AM18</f>
        <v>1.5097988887999998</v>
      </c>
      <c r="AO18" s="215">
        <v>1.9631366319799999</v>
      </c>
      <c r="AP18" s="215">
        <f t="shared" si="4"/>
        <v>1.6947536410200001</v>
      </c>
      <c r="AQ18" s="215">
        <v>2.1971887077000001</v>
      </c>
    </row>
    <row r="19" spans="2:44" s="12" customFormat="1">
      <c r="B19" s="471"/>
      <c r="D19" s="36"/>
      <c r="E19" s="36"/>
      <c r="F19" s="171"/>
      <c r="G19" s="171"/>
      <c r="H19" s="171"/>
      <c r="I19" s="171"/>
      <c r="J19" s="171"/>
      <c r="K19" s="171"/>
      <c r="L19" s="171"/>
      <c r="M19" s="171"/>
      <c r="N19" s="171"/>
      <c r="O19" s="171"/>
      <c r="P19" s="171"/>
      <c r="Q19" s="171"/>
      <c r="R19" s="173"/>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row>
    <row r="20" spans="2:44" s="12" customFormat="1">
      <c r="B20" s="471"/>
      <c r="D20" s="118" t="s">
        <v>197</v>
      </c>
      <c r="E20" s="118" t="s">
        <v>194</v>
      </c>
      <c r="F20" s="171">
        <f>SUM(F9:F13)</f>
        <v>1151.693</v>
      </c>
      <c r="G20" s="171">
        <f t="shared" ref="G20:Q20" si="5">SUM(G9:G13)</f>
        <v>461.22199999999998</v>
      </c>
      <c r="H20" s="171">
        <f t="shared" si="5"/>
        <v>936.42380000000003</v>
      </c>
      <c r="I20" s="171">
        <f t="shared" si="5"/>
        <v>1344.463</v>
      </c>
      <c r="J20" s="171">
        <f t="shared" si="5"/>
        <v>1449.7950000000001</v>
      </c>
      <c r="K20" s="171">
        <f t="shared" si="5"/>
        <v>2550.7412500000005</v>
      </c>
      <c r="L20" s="171">
        <f t="shared" si="5"/>
        <v>2176.7109999999998</v>
      </c>
      <c r="M20" s="171">
        <f t="shared" si="5"/>
        <v>1392.9030000000002</v>
      </c>
      <c r="N20" s="171">
        <f t="shared" si="5"/>
        <v>1128.509</v>
      </c>
      <c r="O20" s="171">
        <f t="shared" si="5"/>
        <v>1204.6890000000001</v>
      </c>
      <c r="P20" s="171">
        <f t="shared" si="5"/>
        <v>1351.5610000000001</v>
      </c>
      <c r="Q20" s="171">
        <f t="shared" si="5"/>
        <v>1438.9880000000001</v>
      </c>
      <c r="R20" s="173"/>
      <c r="S20" s="171">
        <f>SUM(S9:S13)</f>
        <v>453.48</v>
      </c>
      <c r="T20" s="171">
        <f t="shared" ref="T20:AQ20" si="6">SUM(T9:T13)</f>
        <v>478.77699999999999</v>
      </c>
      <c r="U20" s="171">
        <f t="shared" si="6"/>
        <v>160.90299999999999</v>
      </c>
      <c r="V20" s="171">
        <f t="shared" si="6"/>
        <v>194.738</v>
      </c>
      <c r="W20" s="171">
        <f t="shared" si="6"/>
        <v>390.37090000000001</v>
      </c>
      <c r="X20" s="171">
        <f t="shared" si="6"/>
        <v>546.05289999999991</v>
      </c>
      <c r="Y20" s="171">
        <f t="shared" si="6"/>
        <v>669.13149999999996</v>
      </c>
      <c r="Z20" s="171">
        <f t="shared" si="6"/>
        <v>675.33150000000001</v>
      </c>
      <c r="AA20" s="171">
        <f t="shared" si="6"/>
        <v>709.08199999999988</v>
      </c>
      <c r="AB20" s="171">
        <f t="shared" si="6"/>
        <v>740.71299999999997</v>
      </c>
      <c r="AC20" s="171">
        <f t="shared" si="6"/>
        <v>1268.105</v>
      </c>
      <c r="AD20" s="171">
        <f t="shared" si="6"/>
        <v>1282.63625</v>
      </c>
      <c r="AE20" s="171">
        <f t="shared" si="6"/>
        <v>1119.4390000000001</v>
      </c>
      <c r="AF20" s="171">
        <f t="shared" si="6"/>
        <v>1057.2719999999999</v>
      </c>
      <c r="AG20" s="171">
        <f t="shared" si="6"/>
        <v>753.30899999999997</v>
      </c>
      <c r="AH20" s="171">
        <f t="shared" si="6"/>
        <v>639.59400000000005</v>
      </c>
      <c r="AI20" s="171">
        <f t="shared" si="6"/>
        <v>574.57100000000003</v>
      </c>
      <c r="AJ20" s="171">
        <f t="shared" si="6"/>
        <v>553.93799999999987</v>
      </c>
      <c r="AK20" s="171">
        <f>SUM(AK9:AK13)</f>
        <v>587.12799999999993</v>
      </c>
      <c r="AL20" s="171">
        <f t="shared" si="6"/>
        <v>617.56100000000004</v>
      </c>
      <c r="AM20" s="171">
        <f t="shared" si="6"/>
        <v>680.81600000000003</v>
      </c>
      <c r="AN20" s="171">
        <f t="shared" si="6"/>
        <v>670.74499999999989</v>
      </c>
      <c r="AO20" s="171">
        <f t="shared" si="6"/>
        <v>714.46</v>
      </c>
      <c r="AP20" s="171">
        <f t="shared" si="6"/>
        <v>724.52800000000013</v>
      </c>
      <c r="AQ20" s="171">
        <f t="shared" si="6"/>
        <v>774.28300000000002</v>
      </c>
      <c r="AR20" s="449"/>
    </row>
    <row r="21" spans="2:44" s="12" customFormat="1">
      <c r="B21" s="471"/>
      <c r="D21" s="118" t="s">
        <v>196</v>
      </c>
      <c r="E21" s="118" t="s">
        <v>760</v>
      </c>
      <c r="F21" s="215">
        <f t="shared" ref="F21:O21" si="7">F18</f>
        <v>1.758</v>
      </c>
      <c r="G21" s="215">
        <f t="shared" si="7"/>
        <v>0.91400000000000003</v>
      </c>
      <c r="H21" s="215">
        <f t="shared" si="7"/>
        <v>0.97499999999999998</v>
      </c>
      <c r="I21" s="215">
        <f t="shared" si="7"/>
        <v>0.878</v>
      </c>
      <c r="J21" s="215">
        <f t="shared" si="7"/>
        <v>1.2170000000000001</v>
      </c>
      <c r="K21" s="215">
        <f t="shared" si="7"/>
        <v>0.85328303399999994</v>
      </c>
      <c r="L21" s="215">
        <f t="shared" si="7"/>
        <v>0.751</v>
      </c>
      <c r="M21" s="215">
        <f t="shared" si="7"/>
        <v>1.3640000000000001</v>
      </c>
      <c r="N21" s="215">
        <f t="shared" si="7"/>
        <v>2.2360000000000002</v>
      </c>
      <c r="O21" s="215">
        <f t="shared" si="7"/>
        <v>2.69505404</v>
      </c>
      <c r="P21" s="215">
        <f>P18</f>
        <v>3.1227988887999998</v>
      </c>
      <c r="Q21" s="215">
        <f>Q18</f>
        <v>3.657890273</v>
      </c>
      <c r="R21" s="9"/>
      <c r="S21" s="216" t="str">
        <f>S18</f>
        <v>x</v>
      </c>
      <c r="T21" s="216" t="str">
        <f t="shared" ref="T21:AQ21" si="8">T18</f>
        <v>x</v>
      </c>
      <c r="U21" s="216" t="str">
        <f t="shared" si="8"/>
        <v>x</v>
      </c>
      <c r="V21" s="216" t="str">
        <f t="shared" si="8"/>
        <v>x</v>
      </c>
      <c r="W21" s="215">
        <f t="shared" si="8"/>
        <v>0.40799999999999997</v>
      </c>
      <c r="X21" s="215">
        <f t="shared" si="8"/>
        <v>0.56699999999999995</v>
      </c>
      <c r="Y21" s="215">
        <f t="shared" si="8"/>
        <v>0.32300000000000001</v>
      </c>
      <c r="Z21" s="215">
        <f t="shared" si="8"/>
        <v>0.55499999999999994</v>
      </c>
      <c r="AA21" s="215">
        <f t="shared" si="8"/>
        <v>0.53800000000000003</v>
      </c>
      <c r="AB21" s="215">
        <f t="shared" si="8"/>
        <v>0.67900000000000005</v>
      </c>
      <c r="AC21" s="215">
        <f t="shared" si="8"/>
        <v>0.47799999999999998</v>
      </c>
      <c r="AD21" s="215">
        <f t="shared" si="8"/>
        <v>0.37528303399999996</v>
      </c>
      <c r="AE21" s="215">
        <f t="shared" si="8"/>
        <v>0.41199999999999998</v>
      </c>
      <c r="AF21" s="215">
        <f t="shared" si="8"/>
        <v>0.33900000000000002</v>
      </c>
      <c r="AG21" s="215">
        <f t="shared" si="8"/>
        <v>0.52500000000000002</v>
      </c>
      <c r="AH21" s="215">
        <f t="shared" si="8"/>
        <v>0.83900000000000008</v>
      </c>
      <c r="AI21" s="215">
        <f t="shared" si="8"/>
        <v>0.93899999999999995</v>
      </c>
      <c r="AJ21" s="215">
        <f t="shared" si="8"/>
        <v>1.2970000000000002</v>
      </c>
      <c r="AK21" s="215">
        <f t="shared" si="8"/>
        <v>1.3320000000000001</v>
      </c>
      <c r="AL21" s="215">
        <f t="shared" si="8"/>
        <v>1.3694655820000001</v>
      </c>
      <c r="AM21" s="215">
        <v>1.5968544999999998</v>
      </c>
      <c r="AN21" s="215">
        <f t="shared" si="8"/>
        <v>1.5097988887999998</v>
      </c>
      <c r="AO21" s="215">
        <f t="shared" si="8"/>
        <v>1.9631366319799999</v>
      </c>
      <c r="AP21" s="215">
        <f t="shared" si="8"/>
        <v>1.6947536410200001</v>
      </c>
      <c r="AQ21" s="215">
        <f t="shared" si="8"/>
        <v>2.1971887077000001</v>
      </c>
    </row>
    <row r="22" spans="2:44" s="12" customFormat="1">
      <c r="D22" s="36"/>
      <c r="E22" s="36"/>
      <c r="F22" s="150"/>
      <c r="G22" s="150"/>
      <c r="H22" s="150"/>
      <c r="I22" s="150"/>
      <c r="J22" s="150"/>
      <c r="K22" s="150"/>
      <c r="L22" s="150"/>
      <c r="M22" s="150"/>
      <c r="N22" s="150"/>
      <c r="O22" s="150"/>
      <c r="P22" s="150"/>
      <c r="Q22" s="150"/>
      <c r="R22" s="9"/>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row>
    <row r="23" spans="2:44" s="12" customFormat="1">
      <c r="D23" s="116" t="s">
        <v>184</v>
      </c>
      <c r="E23" s="116"/>
      <c r="F23" s="213"/>
      <c r="G23" s="213"/>
      <c r="H23" s="213"/>
      <c r="I23" s="213"/>
      <c r="J23" s="213"/>
      <c r="K23" s="213"/>
      <c r="L23" s="213"/>
      <c r="M23" s="213"/>
      <c r="N23" s="213"/>
      <c r="O23" s="213"/>
      <c r="P23" s="213"/>
      <c r="Q23" s="213"/>
      <c r="R23" s="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row>
    <row r="24" spans="2:44">
      <c r="B24" s="469" t="s">
        <v>446</v>
      </c>
      <c r="D24" s="36"/>
      <c r="E24" s="36"/>
      <c r="F24" s="150"/>
      <c r="G24" s="150"/>
      <c r="H24" s="150"/>
      <c r="I24" s="150"/>
      <c r="J24" s="150"/>
      <c r="K24" s="150"/>
      <c r="L24" s="150"/>
      <c r="M24" s="150"/>
      <c r="N24" s="150"/>
      <c r="O24" s="150"/>
      <c r="P24" s="150"/>
      <c r="Q24" s="150"/>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row>
    <row r="25" spans="2:44">
      <c r="B25" s="469"/>
      <c r="D25" s="118" t="s">
        <v>199</v>
      </c>
      <c r="E25" s="36"/>
      <c r="F25" s="150"/>
      <c r="G25" s="150"/>
      <c r="H25" s="150"/>
      <c r="I25" s="150"/>
      <c r="J25" s="150"/>
      <c r="K25" s="150"/>
      <c r="L25" s="150"/>
      <c r="M25" s="150"/>
      <c r="N25" s="150"/>
      <c r="O25" s="150"/>
      <c r="P25" s="150"/>
      <c r="Q25" s="150"/>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row>
    <row r="26" spans="2:44">
      <c r="B26" s="469"/>
      <c r="D26" s="36" t="s">
        <v>185</v>
      </c>
      <c r="E26" s="36" t="s">
        <v>194</v>
      </c>
      <c r="F26" s="216" t="s">
        <v>694</v>
      </c>
      <c r="G26" s="216" t="s">
        <v>694</v>
      </c>
      <c r="H26" s="216" t="s">
        <v>694</v>
      </c>
      <c r="I26" s="216" t="s">
        <v>694</v>
      </c>
      <c r="J26" s="216" t="s">
        <v>694</v>
      </c>
      <c r="K26" s="216" t="s">
        <v>694</v>
      </c>
      <c r="L26" s="171">
        <v>227.511</v>
      </c>
      <c r="M26" s="171">
        <v>168.75</v>
      </c>
      <c r="N26" s="171">
        <v>155.42500000000001</v>
      </c>
      <c r="O26" s="171">
        <v>167.58</v>
      </c>
      <c r="P26" s="171">
        <v>81.719250000000002</v>
      </c>
      <c r="Q26" s="171">
        <v>11.251250000000001</v>
      </c>
      <c r="S26" s="216" t="s">
        <v>694</v>
      </c>
      <c r="T26" s="216" t="s">
        <v>694</v>
      </c>
      <c r="U26" s="216" t="s">
        <v>694</v>
      </c>
      <c r="V26" s="216" t="s">
        <v>694</v>
      </c>
      <c r="W26" s="216" t="s">
        <v>694</v>
      </c>
      <c r="X26" s="216" t="s">
        <v>694</v>
      </c>
      <c r="Y26" s="216" t="s">
        <v>694</v>
      </c>
      <c r="Z26" s="216" t="s">
        <v>694</v>
      </c>
      <c r="AA26" s="216" t="s">
        <v>694</v>
      </c>
      <c r="AB26" s="216" t="s">
        <v>694</v>
      </c>
      <c r="AC26" s="216" t="s">
        <v>694</v>
      </c>
      <c r="AD26" s="216" t="s">
        <v>694</v>
      </c>
      <c r="AE26" s="171">
        <v>113.68300000000001</v>
      </c>
      <c r="AF26" s="171">
        <f>L26-AE26</f>
        <v>113.82799999999999</v>
      </c>
      <c r="AG26" s="171">
        <v>80.912000000000006</v>
      </c>
      <c r="AH26" s="171">
        <f>M26-AG26</f>
        <v>87.837999999999994</v>
      </c>
      <c r="AI26" s="171">
        <v>72.685000000000002</v>
      </c>
      <c r="AJ26" s="171">
        <f>N26-AI26</f>
        <v>82.740000000000009</v>
      </c>
      <c r="AK26" s="171">
        <v>82.64</v>
      </c>
      <c r="AL26" s="171">
        <v>84.94</v>
      </c>
      <c r="AM26" s="171">
        <v>57.719250000000002</v>
      </c>
      <c r="AN26" s="171">
        <f t="shared" ref="AN26:AN27" si="9">P26-AM26</f>
        <v>24</v>
      </c>
      <c r="AO26" s="171">
        <v>10.839</v>
      </c>
      <c r="AP26" s="171">
        <v>0</v>
      </c>
      <c r="AQ26" s="171">
        <v>0</v>
      </c>
    </row>
    <row r="27" spans="2:44">
      <c r="B27" s="469"/>
      <c r="D27" s="36" t="s">
        <v>186</v>
      </c>
      <c r="E27" s="36" t="s">
        <v>194</v>
      </c>
      <c r="F27" s="150">
        <v>175</v>
      </c>
      <c r="G27" s="150">
        <v>143</v>
      </c>
      <c r="H27" s="171">
        <v>159.18299999999999</v>
      </c>
      <c r="I27" s="171">
        <v>162.71899999999999</v>
      </c>
      <c r="J27" s="171">
        <v>178.17699999999999</v>
      </c>
      <c r="K27" s="171">
        <v>223.596</v>
      </c>
      <c r="L27" s="171">
        <v>250.822</v>
      </c>
      <c r="M27" s="171">
        <v>272.33049999999997</v>
      </c>
      <c r="N27" s="171">
        <v>187.501</v>
      </c>
      <c r="O27" s="171">
        <v>115.578</v>
      </c>
      <c r="P27" s="171">
        <v>107.053</v>
      </c>
      <c r="Q27" s="171">
        <v>110.88800000000001</v>
      </c>
      <c r="S27" s="216" t="s">
        <v>694</v>
      </c>
      <c r="T27" s="216" t="s">
        <v>694</v>
      </c>
      <c r="U27" s="216" t="s">
        <v>694</v>
      </c>
      <c r="V27" s="216" t="s">
        <v>694</v>
      </c>
      <c r="W27" s="171">
        <v>84</v>
      </c>
      <c r="X27" s="171">
        <f>H27-W27</f>
        <v>75.182999999999993</v>
      </c>
      <c r="Y27" s="171">
        <v>78</v>
      </c>
      <c r="Z27" s="171">
        <f t="shared" ref="Z27" si="10">I27-Y27</f>
        <v>84.718999999999994</v>
      </c>
      <c r="AA27" s="171">
        <v>86.462999999999994</v>
      </c>
      <c r="AB27" s="171">
        <f t="shared" ref="AB27" si="11">J27-AA27</f>
        <v>91.713999999999999</v>
      </c>
      <c r="AC27" s="171">
        <v>105.399</v>
      </c>
      <c r="AD27" s="171">
        <f t="shared" ref="AD27" si="12">K27-AC27</f>
        <v>118.197</v>
      </c>
      <c r="AE27" s="171">
        <v>122.101</v>
      </c>
      <c r="AF27" s="171">
        <f>L27-AE27</f>
        <v>128.721</v>
      </c>
      <c r="AG27" s="171">
        <v>128.20500000000001</v>
      </c>
      <c r="AH27" s="171">
        <f>M27-AG27</f>
        <v>144.12549999999996</v>
      </c>
      <c r="AI27" s="171">
        <v>123.32300000000001</v>
      </c>
      <c r="AJ27" s="171">
        <f>N27-AI27</f>
        <v>64.177999999999997</v>
      </c>
      <c r="AK27" s="171">
        <v>61.012</v>
      </c>
      <c r="AL27" s="171">
        <v>54.566000000000003</v>
      </c>
      <c r="AM27" s="171">
        <v>51.978999999999999</v>
      </c>
      <c r="AN27" s="171">
        <f t="shared" si="9"/>
        <v>55.073999999999998</v>
      </c>
      <c r="AO27" s="171">
        <v>56.045000000000002</v>
      </c>
      <c r="AP27" s="171">
        <f>Q27-AO27</f>
        <v>54.843000000000004</v>
      </c>
      <c r="AQ27" s="171">
        <v>50.536999999999999</v>
      </c>
    </row>
    <row r="28" spans="2:44">
      <c r="B28" s="469"/>
      <c r="D28" s="36"/>
      <c r="E28" s="36"/>
      <c r="F28" s="150"/>
      <c r="G28" s="150"/>
      <c r="H28" s="150"/>
      <c r="I28" s="150"/>
      <c r="J28" s="150"/>
      <c r="K28" s="150"/>
      <c r="L28" s="150"/>
      <c r="M28" s="150"/>
      <c r="N28" s="150"/>
      <c r="O28" s="150"/>
      <c r="P28" s="150"/>
      <c r="Q28" s="150"/>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row>
    <row r="29" spans="2:44">
      <c r="B29" s="469"/>
      <c r="D29" s="118" t="s">
        <v>187</v>
      </c>
      <c r="E29" s="36"/>
      <c r="F29" s="150"/>
      <c r="G29" s="150"/>
      <c r="H29" s="150"/>
      <c r="I29" s="150"/>
      <c r="J29" s="150"/>
      <c r="K29" s="150"/>
      <c r="L29" s="150"/>
      <c r="M29" s="150"/>
      <c r="N29" s="150"/>
      <c r="O29" s="150"/>
      <c r="P29" s="150"/>
      <c r="Q29" s="150"/>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row>
    <row r="30" spans="2:44">
      <c r="B30" s="469"/>
      <c r="D30" s="36" t="s">
        <v>188</v>
      </c>
      <c r="E30" s="36"/>
      <c r="F30" s="150"/>
      <c r="G30" s="150"/>
      <c r="H30" s="150"/>
      <c r="I30" s="150"/>
      <c r="J30" s="150"/>
      <c r="K30" s="150"/>
      <c r="L30" s="150"/>
      <c r="M30" s="150"/>
      <c r="N30" s="150"/>
      <c r="O30" s="150"/>
      <c r="P30" s="150"/>
      <c r="Q30" s="150"/>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row>
    <row r="31" spans="2:44">
      <c r="B31" s="469"/>
      <c r="D31" s="36" t="s">
        <v>199</v>
      </c>
      <c r="E31" s="36" t="s">
        <v>194</v>
      </c>
      <c r="F31" s="216" t="s">
        <v>694</v>
      </c>
      <c r="G31" s="216" t="s">
        <v>694</v>
      </c>
      <c r="H31" s="171">
        <v>32.069275000000005</v>
      </c>
      <c r="I31" s="171">
        <v>65.363</v>
      </c>
      <c r="J31" s="171">
        <v>63.45</v>
      </c>
      <c r="K31" s="171">
        <v>63.472000000000001</v>
      </c>
      <c r="L31" s="171">
        <v>89.230999999999995</v>
      </c>
      <c r="M31" s="171">
        <v>106.72194999999999</v>
      </c>
      <c r="N31" s="171">
        <v>114.75324499999999</v>
      </c>
      <c r="O31" s="171">
        <v>116.0245</v>
      </c>
      <c r="P31" s="171">
        <v>122.79349999999999</v>
      </c>
      <c r="Q31" s="171">
        <v>119.633</v>
      </c>
      <c r="S31" s="216" t="s">
        <v>694</v>
      </c>
      <c r="T31" s="216" t="s">
        <v>694</v>
      </c>
      <c r="U31" s="216" t="s">
        <v>694</v>
      </c>
      <c r="V31" s="216" t="s">
        <v>694</v>
      </c>
      <c r="W31" s="171">
        <v>16</v>
      </c>
      <c r="X31" s="171">
        <f>H31-W31</f>
        <v>16.069275000000005</v>
      </c>
      <c r="Y31" s="171">
        <v>39</v>
      </c>
      <c r="Z31" s="171">
        <f t="shared" ref="Z31:Z32" si="13">I31-Y31</f>
        <v>26.363</v>
      </c>
      <c r="AA31" s="171">
        <v>32.932000000000002</v>
      </c>
      <c r="AB31" s="171">
        <f t="shared" ref="AB31:AB32" si="14">J31-AA31</f>
        <v>30.518000000000001</v>
      </c>
      <c r="AC31" s="171">
        <v>30.966000000000001</v>
      </c>
      <c r="AD31" s="171">
        <f t="shared" ref="AD31:AD32" si="15">K31-AC31</f>
        <v>32.506</v>
      </c>
      <c r="AE31" s="171">
        <v>42.05</v>
      </c>
      <c r="AF31" s="171">
        <f>L31-AE31</f>
        <v>47.180999999999997</v>
      </c>
      <c r="AG31" s="171">
        <v>52.529699999999998</v>
      </c>
      <c r="AH31" s="171">
        <f>M31-AG31</f>
        <v>54.192249999999994</v>
      </c>
      <c r="AI31" s="171">
        <v>57.210994999999997</v>
      </c>
      <c r="AJ31" s="171">
        <f>N31-AI31</f>
        <v>57.542249999999996</v>
      </c>
      <c r="AK31" s="171">
        <v>58</v>
      </c>
      <c r="AL31" s="171">
        <v>60.568499999999993</v>
      </c>
      <c r="AM31" s="171">
        <v>62.255749999999999</v>
      </c>
      <c r="AN31" s="171">
        <f t="shared" ref="AN31:AN32" si="16">P31-AM31</f>
        <v>60.537749999999996</v>
      </c>
      <c r="AO31" s="171">
        <v>62.114249999999998</v>
      </c>
      <c r="AP31" s="171">
        <f>Q31-AO31</f>
        <v>57.518749999999997</v>
      </c>
      <c r="AQ31" s="171">
        <v>45.652000000000001</v>
      </c>
    </row>
    <row r="32" spans="2:44">
      <c r="B32" s="469"/>
      <c r="D32" s="36" t="s">
        <v>198</v>
      </c>
      <c r="E32" s="36" t="s">
        <v>191</v>
      </c>
      <c r="F32" s="216" t="s">
        <v>694</v>
      </c>
      <c r="G32" s="216" t="s">
        <v>694</v>
      </c>
      <c r="H32" s="171">
        <v>142.07896731</v>
      </c>
      <c r="I32" s="171">
        <v>229.065291</v>
      </c>
      <c r="J32" s="171">
        <v>278.80006300000002</v>
      </c>
      <c r="K32" s="171">
        <v>304.21370299999995</v>
      </c>
      <c r="L32" s="171">
        <v>319.429058</v>
      </c>
      <c r="M32" s="171">
        <v>308.534785</v>
      </c>
      <c r="N32" s="171">
        <v>354.72735929999999</v>
      </c>
      <c r="O32" s="171">
        <v>498.03705100000008</v>
      </c>
      <c r="P32" s="171">
        <v>542.81761900000004</v>
      </c>
      <c r="Q32" s="171">
        <v>376.39590129999999</v>
      </c>
      <c r="S32" s="216" t="s">
        <v>694</v>
      </c>
      <c r="T32" s="216" t="s">
        <v>694</v>
      </c>
      <c r="U32" s="216" t="s">
        <v>694</v>
      </c>
      <c r="V32" s="216" t="s">
        <v>694</v>
      </c>
      <c r="W32" s="171">
        <v>75</v>
      </c>
      <c r="X32" s="171">
        <f>H32-W32</f>
        <v>67.078967309999996</v>
      </c>
      <c r="Y32" s="171">
        <v>107</v>
      </c>
      <c r="Z32" s="171">
        <f t="shared" si="13"/>
        <v>122.065291</v>
      </c>
      <c r="AA32" s="171">
        <v>0</v>
      </c>
      <c r="AB32" s="171">
        <f t="shared" si="14"/>
        <v>278.80006300000002</v>
      </c>
      <c r="AC32" s="171">
        <v>180.26304000000002</v>
      </c>
      <c r="AD32" s="171">
        <f t="shared" si="15"/>
        <v>123.95066299999993</v>
      </c>
      <c r="AE32" s="171">
        <v>148.477327</v>
      </c>
      <c r="AF32" s="171">
        <f>L32-AE32</f>
        <v>170.951731</v>
      </c>
      <c r="AG32" s="171">
        <v>165.88834700000001</v>
      </c>
      <c r="AH32" s="171">
        <f>M32-AG32</f>
        <v>142.64643799999999</v>
      </c>
      <c r="AI32" s="171">
        <v>154.79271000000003</v>
      </c>
      <c r="AJ32" s="171">
        <f>N32-AI32</f>
        <v>199.93464929999996</v>
      </c>
      <c r="AK32" s="171">
        <v>267.23814299999998</v>
      </c>
      <c r="AL32" s="171">
        <v>230.79890799999998</v>
      </c>
      <c r="AM32" s="171">
        <v>286.705984</v>
      </c>
      <c r="AN32" s="171">
        <f t="shared" si="16"/>
        <v>256.11163500000004</v>
      </c>
      <c r="AO32" s="171">
        <v>217.41476600000001</v>
      </c>
      <c r="AP32" s="171">
        <f>Q32-AO32</f>
        <v>158.98113529999998</v>
      </c>
      <c r="AQ32" s="171">
        <v>142.08822499999999</v>
      </c>
    </row>
    <row r="33" spans="2:43">
      <c r="F33" s="212"/>
      <c r="G33" s="212"/>
      <c r="H33" s="212"/>
      <c r="I33" s="212"/>
      <c r="J33" s="212"/>
      <c r="K33" s="212"/>
      <c r="L33" s="212"/>
      <c r="M33" s="212"/>
      <c r="N33" s="212"/>
      <c r="O33" s="212"/>
      <c r="P33" s="212"/>
      <c r="Q33" s="212"/>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row>
    <row r="34" spans="2:43" s="12" customFormat="1">
      <c r="D34" s="116" t="s">
        <v>644</v>
      </c>
      <c r="E34" s="116"/>
      <c r="F34" s="213"/>
      <c r="G34" s="213"/>
      <c r="H34" s="213"/>
      <c r="I34" s="213"/>
      <c r="J34" s="213"/>
      <c r="K34" s="213"/>
      <c r="L34" s="213"/>
      <c r="M34" s="213"/>
      <c r="N34" s="213"/>
      <c r="O34" s="213"/>
      <c r="P34" s="213"/>
      <c r="Q34" s="213"/>
      <c r="R34" s="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row>
    <row r="35" spans="2:43" ht="12" customHeight="1">
      <c r="B35" s="473" t="s">
        <v>644</v>
      </c>
      <c r="F35" s="212"/>
      <c r="G35" s="212"/>
      <c r="H35" s="212"/>
      <c r="I35" s="212"/>
      <c r="J35" s="212"/>
      <c r="K35" s="212"/>
      <c r="L35" s="212"/>
      <c r="M35" s="212"/>
      <c r="N35" s="212"/>
      <c r="O35" s="212"/>
      <c r="P35" s="212"/>
      <c r="Q35" s="212"/>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row>
    <row r="36" spans="2:43">
      <c r="B36" s="473"/>
      <c r="D36" s="143" t="s">
        <v>183</v>
      </c>
      <c r="E36" s="36"/>
      <c r="F36" s="150"/>
      <c r="G36" s="150"/>
      <c r="H36" s="150"/>
      <c r="I36" s="150"/>
      <c r="J36" s="150"/>
      <c r="K36" s="150"/>
      <c r="L36" s="150"/>
      <c r="M36" s="150"/>
      <c r="N36" s="150"/>
      <c r="O36" s="150"/>
      <c r="P36" s="150"/>
      <c r="Q36" s="150"/>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row>
    <row r="37" spans="2:43">
      <c r="B37" s="473"/>
      <c r="D37" s="36" t="s">
        <v>625</v>
      </c>
      <c r="E37" s="36" t="s">
        <v>760</v>
      </c>
      <c r="F37" s="150">
        <v>15.7</v>
      </c>
      <c r="G37" s="150">
        <v>16.899999999999999</v>
      </c>
      <c r="H37" s="215">
        <v>18.214879497999991</v>
      </c>
      <c r="I37" s="215">
        <v>15.913471221999998</v>
      </c>
      <c r="J37" s="215">
        <v>10.396559</v>
      </c>
      <c r="K37" s="215">
        <v>9.6543299999999981</v>
      </c>
      <c r="L37" s="215">
        <v>6.8517574719999983</v>
      </c>
      <c r="M37" s="215">
        <v>4.9436020229999995</v>
      </c>
      <c r="N37" s="215">
        <v>2.6127737230000001</v>
      </c>
      <c r="O37" s="215">
        <v>2.1394120269999997</v>
      </c>
      <c r="P37" s="215">
        <v>2.0979220269999899</v>
      </c>
      <c r="Q37" s="215">
        <v>0.63165400000000005</v>
      </c>
      <c r="S37" s="216" t="s">
        <v>694</v>
      </c>
      <c r="T37" s="216" t="s">
        <v>694</v>
      </c>
      <c r="U37" s="216" t="s">
        <v>694</v>
      </c>
      <c r="V37" s="216" t="s">
        <v>694</v>
      </c>
      <c r="W37" s="215">
        <v>8.8000000000000007</v>
      </c>
      <c r="X37" s="215">
        <f>H37-W37</f>
        <v>9.4148794979999906</v>
      </c>
      <c r="Y37" s="215">
        <v>8.8000000000000007</v>
      </c>
      <c r="Z37" s="215">
        <f>I37-Y37</f>
        <v>7.1134712219999976</v>
      </c>
      <c r="AA37" s="215">
        <v>6.0857760000000001</v>
      </c>
      <c r="AB37" s="215">
        <f>J37-AA37</f>
        <v>4.3107829999999998</v>
      </c>
      <c r="AC37" s="215">
        <v>5.6088569999999995</v>
      </c>
      <c r="AD37" s="215">
        <f>K37-AC37</f>
        <v>4.0454729999999985</v>
      </c>
      <c r="AE37" s="215">
        <v>4.06053</v>
      </c>
      <c r="AF37" s="215">
        <f>L37-AE37</f>
        <v>2.7912274719999983</v>
      </c>
      <c r="AG37" s="215">
        <v>3.2970960000000002</v>
      </c>
      <c r="AH37" s="215">
        <f>M37-AG37</f>
        <v>1.6465060229999993</v>
      </c>
      <c r="AI37" s="215">
        <v>1.6144960080000001</v>
      </c>
      <c r="AJ37" s="215">
        <f>N37-AI37</f>
        <v>0.99827771499999995</v>
      </c>
      <c r="AK37" s="215">
        <v>1.3182450000000001</v>
      </c>
      <c r="AL37" s="215">
        <v>0.82116702699999999</v>
      </c>
      <c r="AM37" s="215">
        <v>1.337181</v>
      </c>
      <c r="AN37" s="215">
        <f>P37-AM37</f>
        <v>0.76074102699998991</v>
      </c>
      <c r="AO37" s="215">
        <v>0.63165400000000005</v>
      </c>
      <c r="AP37" s="216" t="s">
        <v>694</v>
      </c>
      <c r="AQ37" s="216" t="s">
        <v>694</v>
      </c>
    </row>
    <row r="38" spans="2:43">
      <c r="B38" s="473"/>
      <c r="F38" s="212"/>
      <c r="G38" s="212"/>
      <c r="H38" s="212"/>
      <c r="I38" s="212"/>
      <c r="J38" s="212"/>
      <c r="K38" s="212"/>
      <c r="L38" s="212"/>
      <c r="M38" s="212"/>
      <c r="N38" s="212"/>
      <c r="O38" s="212"/>
      <c r="P38" s="212"/>
      <c r="Q38" s="212"/>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row>
    <row r="39" spans="2:43">
      <c r="B39" s="473"/>
      <c r="D39" s="143" t="s">
        <v>634</v>
      </c>
      <c r="E39" s="36"/>
      <c r="F39" s="150"/>
      <c r="G39" s="150"/>
      <c r="H39" s="150"/>
      <c r="I39" s="150"/>
      <c r="J39" s="150"/>
      <c r="K39" s="150"/>
      <c r="L39" s="150"/>
      <c r="M39" s="150"/>
      <c r="N39" s="150"/>
      <c r="O39" s="150"/>
      <c r="P39" s="150"/>
      <c r="Q39" s="150"/>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row>
    <row r="40" spans="2:43">
      <c r="B40" s="473"/>
      <c r="D40" s="36" t="s">
        <v>635</v>
      </c>
      <c r="E40" s="36"/>
      <c r="F40" s="150"/>
      <c r="G40" s="150"/>
      <c r="H40" s="150"/>
      <c r="I40" s="150"/>
      <c r="J40" s="150"/>
      <c r="K40" s="150"/>
      <c r="L40" s="150"/>
      <c r="M40" s="150"/>
      <c r="N40" s="150"/>
      <c r="O40" s="150"/>
      <c r="P40" s="150"/>
      <c r="Q40" s="150"/>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row>
    <row r="41" spans="2:43">
      <c r="B41" s="473"/>
      <c r="D41" s="36" t="s">
        <v>199</v>
      </c>
      <c r="E41" s="36" t="s">
        <v>194</v>
      </c>
      <c r="F41" s="216" t="s">
        <v>694</v>
      </c>
      <c r="G41" s="216" t="s">
        <v>694</v>
      </c>
      <c r="H41" s="216" t="s">
        <v>694</v>
      </c>
      <c r="I41" s="216" t="s">
        <v>694</v>
      </c>
      <c r="J41" s="216" t="s">
        <v>694</v>
      </c>
      <c r="K41" s="171">
        <v>95.334000000000003</v>
      </c>
      <c r="L41" s="171">
        <v>89</v>
      </c>
      <c r="M41" s="171">
        <v>109.94499999999999</v>
      </c>
      <c r="N41" s="171">
        <v>174.18899999999999</v>
      </c>
      <c r="O41" s="171">
        <v>171.756</v>
      </c>
      <c r="P41" s="171">
        <v>119.244</v>
      </c>
      <c r="Q41" s="216" t="s">
        <v>694</v>
      </c>
      <c r="S41" s="216" t="s">
        <v>694</v>
      </c>
      <c r="T41" s="216" t="s">
        <v>694</v>
      </c>
      <c r="U41" s="216" t="s">
        <v>694</v>
      </c>
      <c r="V41" s="216" t="s">
        <v>694</v>
      </c>
      <c r="W41" s="216" t="s">
        <v>694</v>
      </c>
      <c r="X41" s="216" t="s">
        <v>694</v>
      </c>
      <c r="Y41" s="216" t="s">
        <v>694</v>
      </c>
      <c r="Z41" s="216" t="s">
        <v>694</v>
      </c>
      <c r="AA41" s="216" t="s">
        <v>694</v>
      </c>
      <c r="AB41" s="216" t="s">
        <v>694</v>
      </c>
      <c r="AC41" s="171">
        <v>50</v>
      </c>
      <c r="AD41" s="171">
        <f t="shared" ref="AD41:AD42" si="17">K41-AC41</f>
        <v>45.334000000000003</v>
      </c>
      <c r="AE41" s="171">
        <v>47.633000000000003</v>
      </c>
      <c r="AF41" s="171">
        <f>L41-AE41</f>
        <v>41.366999999999997</v>
      </c>
      <c r="AG41" s="171">
        <v>36.993000000000002</v>
      </c>
      <c r="AH41" s="171">
        <f>M41-AG41</f>
        <v>72.951999999999998</v>
      </c>
      <c r="AI41" s="171">
        <v>84.483999999999995</v>
      </c>
      <c r="AJ41" s="171">
        <f>N41-AI41</f>
        <v>89.704999999999998</v>
      </c>
      <c r="AK41" s="171">
        <v>87.56</v>
      </c>
      <c r="AL41" s="171">
        <v>84.195999999999998</v>
      </c>
      <c r="AM41" s="171">
        <v>89.647000000000006</v>
      </c>
      <c r="AN41" s="171">
        <f t="shared" ref="AN41:AN42" si="18">P41-AM41</f>
        <v>29.596999999999994</v>
      </c>
      <c r="AO41" s="216" t="s">
        <v>694</v>
      </c>
      <c r="AP41" s="216" t="s">
        <v>694</v>
      </c>
      <c r="AQ41" s="216" t="s">
        <v>694</v>
      </c>
    </row>
    <row r="42" spans="2:43">
      <c r="B42" s="473"/>
      <c r="D42" s="36" t="s">
        <v>198</v>
      </c>
      <c r="E42" s="36" t="s">
        <v>191</v>
      </c>
      <c r="F42" s="216" t="s">
        <v>694</v>
      </c>
      <c r="G42" s="216" t="s">
        <v>694</v>
      </c>
      <c r="H42" s="216" t="s">
        <v>694</v>
      </c>
      <c r="I42" s="216" t="s">
        <v>694</v>
      </c>
      <c r="J42" s="216" t="s">
        <v>694</v>
      </c>
      <c r="K42" s="171">
        <v>240.113</v>
      </c>
      <c r="L42" s="171">
        <v>285.40646999999996</v>
      </c>
      <c r="M42" s="171">
        <v>273.22163</v>
      </c>
      <c r="N42" s="171">
        <v>320.47563000000002</v>
      </c>
      <c r="O42" s="171">
        <v>324.05921000000001</v>
      </c>
      <c r="P42" s="171">
        <v>229.03987000000001</v>
      </c>
      <c r="Q42" s="216" t="s">
        <v>694</v>
      </c>
      <c r="S42" s="216" t="s">
        <v>694</v>
      </c>
      <c r="T42" s="216" t="s">
        <v>694</v>
      </c>
      <c r="U42" s="216" t="s">
        <v>694</v>
      </c>
      <c r="V42" s="216" t="s">
        <v>694</v>
      </c>
      <c r="W42" s="216" t="s">
        <v>694</v>
      </c>
      <c r="X42" s="216" t="s">
        <v>694</v>
      </c>
      <c r="Y42" s="216" t="s">
        <v>694</v>
      </c>
      <c r="Z42" s="216" t="s">
        <v>694</v>
      </c>
      <c r="AA42" s="216" t="s">
        <v>694</v>
      </c>
      <c r="AB42" s="216" t="s">
        <v>694</v>
      </c>
      <c r="AC42" s="171">
        <v>113.777</v>
      </c>
      <c r="AD42" s="171">
        <f t="shared" si="17"/>
        <v>126.336</v>
      </c>
      <c r="AE42" s="171">
        <v>138.39385000000001</v>
      </c>
      <c r="AF42" s="171">
        <f>L42-AE42</f>
        <v>147.01261999999994</v>
      </c>
      <c r="AG42" s="171">
        <v>134.10429000000002</v>
      </c>
      <c r="AH42" s="171">
        <f>M42-AG42</f>
        <v>139.11733999999998</v>
      </c>
      <c r="AI42" s="171">
        <v>155.93592999999998</v>
      </c>
      <c r="AJ42" s="171">
        <f>N42-AI42</f>
        <v>164.53970000000004</v>
      </c>
      <c r="AK42" s="171">
        <v>174.47060000000002</v>
      </c>
      <c r="AL42" s="171">
        <v>149.58860999999999</v>
      </c>
      <c r="AM42" s="171">
        <v>174.66233000000003</v>
      </c>
      <c r="AN42" s="171">
        <f t="shared" si="18"/>
        <v>54.377539999999982</v>
      </c>
      <c r="AO42" s="216" t="s">
        <v>694</v>
      </c>
      <c r="AP42" s="216" t="s">
        <v>694</v>
      </c>
      <c r="AQ42" s="216" t="s">
        <v>694</v>
      </c>
    </row>
    <row r="43" spans="2:43">
      <c r="B43" s="153"/>
      <c r="R43" s="6"/>
      <c r="AF43" s="173"/>
      <c r="AG43" s="173"/>
      <c r="AH43" s="173"/>
      <c r="AI43" s="173"/>
      <c r="AJ43" s="173"/>
      <c r="AK43" s="173"/>
      <c r="AL43" s="173"/>
      <c r="AM43" s="173"/>
      <c r="AN43" s="173"/>
      <c r="AO43" s="173"/>
      <c r="AP43" s="173"/>
      <c r="AQ43" s="173"/>
    </row>
    <row r="44" spans="2:43">
      <c r="AF44" s="173"/>
      <c r="AG44" s="173"/>
      <c r="AH44" s="173"/>
      <c r="AI44" s="173"/>
      <c r="AJ44" s="173"/>
      <c r="AK44" s="173"/>
      <c r="AL44" s="173"/>
      <c r="AM44" s="173"/>
      <c r="AN44" s="173"/>
      <c r="AO44" s="173"/>
      <c r="AP44" s="173"/>
      <c r="AQ44" s="173"/>
    </row>
    <row r="45" spans="2:43" ht="14.25">
      <c r="D45" s="396" t="s">
        <v>734</v>
      </c>
      <c r="AF45" s="173"/>
      <c r="AG45" s="173"/>
      <c r="AH45" s="173"/>
      <c r="AI45" s="173"/>
      <c r="AJ45" s="173"/>
      <c r="AK45" s="173"/>
      <c r="AL45" s="173"/>
      <c r="AM45" s="173"/>
      <c r="AN45" s="173"/>
      <c r="AO45" s="173"/>
      <c r="AP45" s="173"/>
      <c r="AQ45" s="173"/>
    </row>
    <row r="46" spans="2:43">
      <c r="R46" s="6"/>
      <c r="W46" s="202"/>
      <c r="X46" s="202"/>
      <c r="Y46" s="202"/>
      <c r="Z46" s="202"/>
      <c r="AA46" s="202"/>
      <c r="AB46" s="202"/>
      <c r="AC46" s="202"/>
      <c r="AD46" s="202"/>
      <c r="AE46" s="202"/>
      <c r="AF46" s="202"/>
      <c r="AG46" s="202"/>
      <c r="AH46" s="202"/>
      <c r="AI46" s="202"/>
      <c r="AJ46" s="202"/>
      <c r="AK46" s="202"/>
      <c r="AL46" s="202"/>
      <c r="AM46" s="202"/>
      <c r="AN46" s="202"/>
      <c r="AO46" s="202"/>
      <c r="AP46" s="202"/>
      <c r="AQ46" s="202"/>
    </row>
    <row r="47" spans="2:43">
      <c r="R47" s="6"/>
      <c r="AF47" s="173"/>
      <c r="AG47" s="173"/>
      <c r="AH47" s="173"/>
      <c r="AI47" s="173"/>
      <c r="AJ47" s="173"/>
      <c r="AK47" s="173"/>
      <c r="AL47" s="173"/>
      <c r="AM47" s="173"/>
      <c r="AN47" s="173"/>
      <c r="AO47" s="173"/>
      <c r="AP47" s="173"/>
      <c r="AQ47" s="173"/>
    </row>
    <row r="48" spans="2:43">
      <c r="R48" s="6"/>
      <c r="AF48" s="173"/>
      <c r="AG48" s="173"/>
      <c r="AH48" s="173"/>
      <c r="AI48" s="173"/>
      <c r="AJ48" s="173"/>
      <c r="AK48" s="173"/>
      <c r="AL48" s="173"/>
      <c r="AM48" s="173"/>
      <c r="AN48" s="173"/>
      <c r="AO48" s="173"/>
      <c r="AP48" s="173"/>
      <c r="AQ48" s="173"/>
    </row>
    <row r="49" spans="4:43">
      <c r="R49" s="6"/>
      <c r="AF49" s="173"/>
      <c r="AG49" s="173"/>
      <c r="AH49" s="173"/>
      <c r="AI49" s="173"/>
      <c r="AJ49" s="173"/>
      <c r="AK49" s="173"/>
      <c r="AL49" s="173"/>
      <c r="AM49" s="173"/>
      <c r="AN49" s="173"/>
      <c r="AO49" s="173"/>
      <c r="AP49" s="173"/>
      <c r="AQ49" s="173"/>
    </row>
    <row r="50" spans="4:43">
      <c r="R50" s="6"/>
      <c r="AF50" s="173"/>
      <c r="AG50" s="173"/>
      <c r="AH50" s="173"/>
      <c r="AI50" s="173"/>
      <c r="AJ50" s="173"/>
      <c r="AK50" s="173"/>
      <c r="AL50" s="173"/>
      <c r="AM50" s="173"/>
      <c r="AN50" s="173"/>
      <c r="AO50" s="173"/>
      <c r="AP50" s="173"/>
      <c r="AQ50" s="173"/>
    </row>
    <row r="51" spans="4:43">
      <c r="R51" s="6"/>
    </row>
    <row r="60" spans="4:43">
      <c r="D60" s="72" t="s">
        <v>156</v>
      </c>
    </row>
  </sheetData>
  <mergeCells count="3">
    <mergeCell ref="B24:B32"/>
    <mergeCell ref="B8:B21"/>
    <mergeCell ref="B35:B4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07F83"/>
  </sheetPr>
  <dimension ref="B2:AQ58"/>
  <sheetViews>
    <sheetView zoomScale="80" zoomScaleNormal="80" workbookViewId="0">
      <pane xSplit="3" ySplit="4" topLeftCell="M5" activePane="bottomRight" state="frozen"/>
      <selection pane="topRight" activeCell="C1" sqref="C1"/>
      <selection pane="bottomLeft" activeCell="A4" sqref="A4"/>
      <selection pane="bottomRight" activeCell="AO14" sqref="AO14"/>
    </sheetView>
  </sheetViews>
  <sheetFormatPr defaultColWidth="9.140625" defaultRowHeight="12"/>
  <cols>
    <col min="1" max="1" width="2.85546875" style="6" customWidth="1"/>
    <col min="2" max="2" width="7.85546875" style="6" customWidth="1"/>
    <col min="3" max="3" width="51.140625" style="6" customWidth="1"/>
    <col min="4" max="6" width="9.28515625" style="269" bestFit="1" customWidth="1"/>
    <col min="7" max="7" width="9.42578125" style="269" bestFit="1" customWidth="1"/>
    <col min="8" max="9" width="9.28515625" style="269" bestFit="1" customWidth="1"/>
    <col min="10" max="10" width="10.7109375" style="269" customWidth="1"/>
    <col min="11" max="11" width="9.42578125" style="269" bestFit="1" customWidth="1"/>
    <col min="12" max="12" width="9.28515625" style="269" bestFit="1" customWidth="1"/>
    <col min="13" max="13" width="9.42578125" style="269" bestFit="1" customWidth="1"/>
    <col min="14" max="14" width="9.28515625" style="269" bestFit="1" customWidth="1"/>
    <col min="15" max="15" width="9.7109375" style="269" bestFit="1" customWidth="1"/>
    <col min="16" max="16" width="9.7109375" style="269" customWidth="1"/>
    <col min="17" max="17" width="3" style="410" customWidth="1"/>
    <col min="18" max="23" width="9.140625" style="269"/>
    <col min="24" max="24" width="1.140625" style="269" customWidth="1"/>
    <col min="25" max="26" width="9.140625" style="269"/>
    <col min="27" max="27" width="9.85546875" style="269" customWidth="1"/>
    <col min="28" max="28" width="10" style="269" customWidth="1"/>
    <col min="29" max="39" width="9.140625" style="269"/>
    <col min="40" max="16384" width="9.140625" style="6"/>
  </cols>
  <sheetData>
    <row r="2" spans="3:43" ht="12.75">
      <c r="C2" s="115" t="s">
        <v>212</v>
      </c>
    </row>
    <row r="3" spans="3:43" s="14" customFormat="1" ht="15" customHeight="1">
      <c r="D3" s="270"/>
      <c r="E3" s="270"/>
      <c r="F3" s="270"/>
      <c r="G3" s="270"/>
      <c r="H3" s="270"/>
      <c r="I3" s="270"/>
      <c r="J3" s="270"/>
      <c r="K3" s="270"/>
      <c r="L3" s="270"/>
      <c r="M3" s="270"/>
      <c r="N3" s="270"/>
      <c r="O3" s="270"/>
      <c r="P3" s="270"/>
      <c r="Q3" s="411"/>
      <c r="R3" s="270"/>
      <c r="S3" s="270"/>
      <c r="T3" s="270"/>
      <c r="U3" s="270"/>
      <c r="V3" s="270"/>
      <c r="W3" s="270"/>
      <c r="X3" s="270"/>
      <c r="Y3" s="270"/>
      <c r="Z3" s="270"/>
      <c r="AA3" s="270"/>
      <c r="AB3" s="270"/>
      <c r="AC3" s="270"/>
      <c r="AD3" s="270"/>
      <c r="AE3" s="270"/>
      <c r="AF3" s="270"/>
      <c r="AG3" s="270"/>
      <c r="AH3" s="270"/>
      <c r="AI3" s="270"/>
      <c r="AJ3" s="270"/>
      <c r="AK3" s="270"/>
      <c r="AL3" s="270"/>
      <c r="AM3" s="270"/>
    </row>
    <row r="4" spans="3:43" s="69" customFormat="1">
      <c r="C4" s="16"/>
      <c r="D4" s="278">
        <v>39813</v>
      </c>
      <c r="E4" s="278">
        <v>40178</v>
      </c>
      <c r="F4" s="278">
        <v>40543</v>
      </c>
      <c r="G4" s="278">
        <v>40908</v>
      </c>
      <c r="H4" s="278">
        <v>41274</v>
      </c>
      <c r="I4" s="278">
        <v>41639</v>
      </c>
      <c r="J4" s="278">
        <v>41639</v>
      </c>
      <c r="K4" s="278">
        <v>42004</v>
      </c>
      <c r="L4" s="278">
        <v>42369</v>
      </c>
      <c r="M4" s="278">
        <v>42735</v>
      </c>
      <c r="N4" s="278">
        <v>43100</v>
      </c>
      <c r="O4" s="278">
        <v>43465</v>
      </c>
      <c r="P4" s="278">
        <v>43830</v>
      </c>
      <c r="Q4" s="417"/>
      <c r="R4" s="162" t="s">
        <v>347</v>
      </c>
      <c r="S4" s="162" t="s">
        <v>348</v>
      </c>
      <c r="T4" s="162" t="s">
        <v>345</v>
      </c>
      <c r="U4" s="162" t="s">
        <v>346</v>
      </c>
      <c r="V4" s="162" t="s">
        <v>343</v>
      </c>
      <c r="W4" s="162" t="s">
        <v>344</v>
      </c>
      <c r="X4" s="162"/>
      <c r="Y4" s="162" t="s">
        <v>95</v>
      </c>
      <c r="Z4" s="162" t="s">
        <v>96</v>
      </c>
      <c r="AA4" s="162" t="s">
        <v>95</v>
      </c>
      <c r="AB4" s="162" t="s">
        <v>96</v>
      </c>
      <c r="AC4" s="162" t="s">
        <v>97</v>
      </c>
      <c r="AD4" s="162" t="s">
        <v>98</v>
      </c>
      <c r="AE4" s="162" t="s">
        <v>99</v>
      </c>
      <c r="AF4" s="162" t="s">
        <v>100</v>
      </c>
      <c r="AG4" s="162" t="s">
        <v>101</v>
      </c>
      <c r="AH4" s="162" t="s">
        <v>102</v>
      </c>
      <c r="AI4" s="162" t="s">
        <v>103</v>
      </c>
      <c r="AJ4" s="162" t="s">
        <v>105</v>
      </c>
      <c r="AK4" s="162" t="s">
        <v>106</v>
      </c>
      <c r="AL4" s="162" t="s">
        <v>104</v>
      </c>
      <c r="AM4" s="162" t="s">
        <v>653</v>
      </c>
      <c r="AN4" s="162" t="s">
        <v>758</v>
      </c>
      <c r="AO4" s="162" t="s">
        <v>795</v>
      </c>
    </row>
    <row r="5" spans="3:43" s="206" customFormat="1" ht="48">
      <c r="C5" s="207"/>
      <c r="D5" s="379" t="s">
        <v>739</v>
      </c>
      <c r="E5" s="379" t="s">
        <v>739</v>
      </c>
      <c r="F5" s="271"/>
      <c r="G5" s="271"/>
      <c r="H5" s="271"/>
      <c r="I5" s="379" t="s">
        <v>750</v>
      </c>
      <c r="J5" s="368" t="s">
        <v>753</v>
      </c>
      <c r="K5" s="271"/>
      <c r="L5" s="271"/>
      <c r="M5" s="271"/>
      <c r="N5" s="271"/>
      <c r="O5" s="271"/>
      <c r="P5" s="271"/>
      <c r="Q5" s="412"/>
      <c r="R5" s="271"/>
      <c r="S5" s="271"/>
      <c r="T5" s="271"/>
      <c r="U5" s="271"/>
      <c r="V5" s="271"/>
      <c r="W5" s="271"/>
      <c r="X5" s="271"/>
      <c r="Y5" s="378" t="s">
        <v>750</v>
      </c>
      <c r="Z5" s="378" t="s">
        <v>750</v>
      </c>
      <c r="AA5" s="368" t="s">
        <v>753</v>
      </c>
      <c r="AB5" s="368" t="s">
        <v>753</v>
      </c>
      <c r="AC5" s="271"/>
      <c r="AD5" s="271"/>
      <c r="AE5" s="271"/>
      <c r="AF5" s="271"/>
      <c r="AG5" s="271"/>
      <c r="AH5" s="271"/>
      <c r="AI5" s="271"/>
      <c r="AJ5" s="271"/>
      <c r="AK5" s="271"/>
      <c r="AL5" s="271"/>
      <c r="AM5" s="271"/>
      <c r="AN5" s="271"/>
      <c r="AO5" s="271"/>
    </row>
    <row r="6" spans="3:43">
      <c r="C6" s="39" t="s">
        <v>466</v>
      </c>
      <c r="D6" s="330">
        <f>D40</f>
        <v>303218</v>
      </c>
      <c r="E6" s="330">
        <f>E40</f>
        <v>130468</v>
      </c>
      <c r="F6" s="330">
        <f>F40</f>
        <v>206570</v>
      </c>
      <c r="G6" s="330">
        <f>G40</f>
        <v>282183</v>
      </c>
      <c r="H6" s="330">
        <f>H40</f>
        <v>287906.68248592829</v>
      </c>
      <c r="I6" s="330">
        <f t="shared" ref="I6:P6" si="0">I40</f>
        <v>197830</v>
      </c>
      <c r="J6" s="330">
        <f t="shared" si="0"/>
        <v>361001.49568783201</v>
      </c>
      <c r="K6" s="330">
        <f t="shared" si="0"/>
        <v>375907</v>
      </c>
      <c r="L6" s="330">
        <f t="shared" si="0"/>
        <v>290960</v>
      </c>
      <c r="M6" s="330">
        <f t="shared" si="0"/>
        <v>224329</v>
      </c>
      <c r="N6" s="330">
        <f t="shared" si="0"/>
        <v>201636</v>
      </c>
      <c r="O6" s="330">
        <f t="shared" si="0"/>
        <v>217303</v>
      </c>
      <c r="P6" s="330">
        <f t="shared" si="0"/>
        <v>226944</v>
      </c>
      <c r="Q6" s="331"/>
      <c r="R6" s="330">
        <f t="shared" ref="R6:W6" si="1">R40</f>
        <v>79653</v>
      </c>
      <c r="S6" s="330">
        <f t="shared" si="1"/>
        <v>126917</v>
      </c>
      <c r="T6" s="330">
        <f t="shared" si="1"/>
        <v>144991</v>
      </c>
      <c r="U6" s="330">
        <f t="shared" si="1"/>
        <v>137192</v>
      </c>
      <c r="V6" s="330">
        <f t="shared" si="1"/>
        <v>144571</v>
      </c>
      <c r="W6" s="330">
        <f t="shared" si="1"/>
        <v>143334.57456179406</v>
      </c>
      <c r="X6" s="330"/>
      <c r="Y6" s="330">
        <f t="shared" ref="Y6:AK6" si="2">Y40</f>
        <v>104334</v>
      </c>
      <c r="Z6" s="330">
        <f t="shared" si="2"/>
        <v>93496</v>
      </c>
      <c r="AA6" s="330">
        <f t="shared" si="2"/>
        <v>189085.73072745095</v>
      </c>
      <c r="AB6" s="330">
        <f t="shared" si="2"/>
        <v>171915.76496038109</v>
      </c>
      <c r="AC6" s="330">
        <f t="shared" si="2"/>
        <v>189926</v>
      </c>
      <c r="AD6" s="330">
        <f t="shared" si="2"/>
        <v>185981</v>
      </c>
      <c r="AE6" s="330">
        <f t="shared" si="2"/>
        <v>153443</v>
      </c>
      <c r="AF6" s="330">
        <f t="shared" si="2"/>
        <v>137517</v>
      </c>
      <c r="AG6" s="330">
        <f t="shared" si="2"/>
        <v>111548</v>
      </c>
      <c r="AH6" s="330">
        <f t="shared" si="2"/>
        <v>112780.92912010831</v>
      </c>
      <c r="AI6" s="330">
        <f t="shared" si="2"/>
        <v>97295</v>
      </c>
      <c r="AJ6" s="330">
        <f t="shared" si="2"/>
        <v>104341</v>
      </c>
      <c r="AK6" s="330">
        <f t="shared" si="2"/>
        <v>108744.73234485694</v>
      </c>
      <c r="AL6" s="330">
        <f t="shared" ref="AL6:AM6" si="3">AL40</f>
        <v>108558.26765514306</v>
      </c>
      <c r="AM6" s="330">
        <f t="shared" si="3"/>
        <v>116047</v>
      </c>
      <c r="AN6" s="330">
        <f t="shared" ref="AN6:AO6" si="4">AN40</f>
        <v>110897</v>
      </c>
      <c r="AO6" s="330">
        <f t="shared" si="4"/>
        <v>104859</v>
      </c>
      <c r="AQ6" s="173"/>
    </row>
    <row r="7" spans="3:43">
      <c r="C7" s="39" t="s">
        <v>163</v>
      </c>
      <c r="D7" s="330">
        <f>D45</f>
        <v>89766</v>
      </c>
      <c r="E7" s="330">
        <f>E45</f>
        <v>82177</v>
      </c>
      <c r="F7" s="330">
        <f>F45</f>
        <v>122222</v>
      </c>
      <c r="G7" s="330">
        <f>G45</f>
        <v>98185</v>
      </c>
      <c r="H7" s="330">
        <f>H45</f>
        <v>172042</v>
      </c>
      <c r="I7" s="330">
        <f t="shared" ref="I7:O7" si="5">I45</f>
        <v>188803</v>
      </c>
      <c r="J7" s="402" t="s">
        <v>694</v>
      </c>
      <c r="K7" s="330">
        <f t="shared" si="5"/>
        <v>311647</v>
      </c>
      <c r="L7" s="330">
        <f t="shared" si="5"/>
        <v>236290</v>
      </c>
      <c r="M7" s="330">
        <f t="shared" si="5"/>
        <v>177797.92912010831</v>
      </c>
      <c r="N7" s="330">
        <f t="shared" si="5"/>
        <v>145903</v>
      </c>
      <c r="O7" s="330">
        <f t="shared" si="5"/>
        <v>133590</v>
      </c>
      <c r="P7" s="330">
        <f>P45</f>
        <v>158802</v>
      </c>
      <c r="Q7" s="331"/>
      <c r="R7" s="330">
        <f t="shared" ref="R7:W7" si="6">R45</f>
        <v>51772</v>
      </c>
      <c r="S7" s="330">
        <f t="shared" si="6"/>
        <v>70450</v>
      </c>
      <c r="T7" s="330">
        <f t="shared" si="6"/>
        <v>65603</v>
      </c>
      <c r="U7" s="330">
        <f t="shared" si="6"/>
        <v>32582</v>
      </c>
      <c r="V7" s="330">
        <f t="shared" si="6"/>
        <v>81943</v>
      </c>
      <c r="W7" s="330">
        <f t="shared" si="6"/>
        <v>90099</v>
      </c>
      <c r="X7" s="330"/>
      <c r="Y7" s="330">
        <f t="shared" ref="Y7:AK7" si="7">Y45</f>
        <v>133063</v>
      </c>
      <c r="Z7" s="330">
        <f t="shared" si="7"/>
        <v>55740</v>
      </c>
      <c r="AA7" s="216" t="s">
        <v>694</v>
      </c>
      <c r="AB7" s="216" t="s">
        <v>694</v>
      </c>
      <c r="AC7" s="330">
        <f t="shared" si="7"/>
        <v>144690</v>
      </c>
      <c r="AD7" s="330">
        <f t="shared" si="7"/>
        <v>166957</v>
      </c>
      <c r="AE7" s="330">
        <f t="shared" si="7"/>
        <v>129238</v>
      </c>
      <c r="AF7" s="330">
        <f t="shared" si="7"/>
        <v>107052</v>
      </c>
      <c r="AG7" s="330">
        <f t="shared" si="7"/>
        <v>91093</v>
      </c>
      <c r="AH7" s="330">
        <f t="shared" si="7"/>
        <v>86704.929120108311</v>
      </c>
      <c r="AI7" s="330">
        <f t="shared" si="7"/>
        <v>70335</v>
      </c>
      <c r="AJ7" s="330">
        <f t="shared" si="7"/>
        <v>75568</v>
      </c>
      <c r="AK7" s="330">
        <f t="shared" si="7"/>
        <v>72679</v>
      </c>
      <c r="AL7" s="330">
        <f t="shared" ref="AL7:AM7" si="8">AL45</f>
        <v>60911</v>
      </c>
      <c r="AM7" s="330">
        <f t="shared" si="8"/>
        <v>74447</v>
      </c>
      <c r="AN7" s="330">
        <f t="shared" ref="AN7:AO7" si="9">AN45</f>
        <v>84355</v>
      </c>
      <c r="AO7" s="330">
        <f t="shared" si="9"/>
        <v>69436</v>
      </c>
      <c r="AQ7" s="173"/>
    </row>
    <row r="8" spans="3:43" ht="11.25" customHeight="1">
      <c r="C8" s="39"/>
      <c r="D8" s="330"/>
      <c r="E8" s="330"/>
      <c r="F8" s="330"/>
      <c r="G8" s="330"/>
      <c r="H8" s="330"/>
      <c r="I8" s="330"/>
      <c r="J8" s="330"/>
      <c r="K8" s="330"/>
      <c r="L8" s="330"/>
      <c r="M8" s="330"/>
      <c r="N8" s="330"/>
      <c r="O8" s="330"/>
      <c r="P8" s="330"/>
      <c r="Q8" s="331"/>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Q8" s="173"/>
    </row>
    <row r="9" spans="3:43" ht="11.25" customHeight="1">
      <c r="C9" s="39" t="s">
        <v>691</v>
      </c>
      <c r="D9" s="330">
        <f>'P&amp;L'!E47</f>
        <v>209076</v>
      </c>
      <c r="E9" s="330">
        <f>'P&amp;L'!F47</f>
        <v>144082</v>
      </c>
      <c r="F9" s="330">
        <f>'P&amp;L'!G47</f>
        <v>175867</v>
      </c>
      <c r="G9" s="330">
        <f>'P&amp;L'!H47</f>
        <v>219158</v>
      </c>
      <c r="H9" s="330">
        <f>'P&amp;L'!I47</f>
        <v>213923.49778282078</v>
      </c>
      <c r="I9" s="330">
        <f>'P&amp;L'!K47</f>
        <v>134414</v>
      </c>
      <c r="J9" s="330">
        <f>'P&amp;L'!L47</f>
        <v>228115.93856515634</v>
      </c>
      <c r="K9" s="330">
        <f>'P&amp;L'!M47</f>
        <v>186475</v>
      </c>
      <c r="L9" s="330">
        <f>'P&amp;L'!N47</f>
        <v>114732</v>
      </c>
      <c r="M9" s="330">
        <f>'P&amp;L'!O47</f>
        <v>107139</v>
      </c>
      <c r="N9" s="330">
        <f>'P&amp;L'!P47</f>
        <v>128869</v>
      </c>
      <c r="O9" s="330">
        <f>'P&amp;L'!Q47</f>
        <v>126272</v>
      </c>
      <c r="P9" s="330">
        <f>'P&amp;L'!R47</f>
        <v>136702</v>
      </c>
      <c r="Q9" s="331"/>
      <c r="R9" s="330">
        <f>'P&amp;L'!T47</f>
        <v>85906</v>
      </c>
      <c r="S9" s="330">
        <f>'P&amp;L'!U47</f>
        <v>89961</v>
      </c>
      <c r="T9" s="330">
        <f>'P&amp;L'!V47</f>
        <v>114702</v>
      </c>
      <c r="U9" s="330">
        <f>'P&amp;L'!W47</f>
        <v>104456</v>
      </c>
      <c r="V9" s="330">
        <f>'P&amp;L'!X47</f>
        <v>111117</v>
      </c>
      <c r="W9" s="330">
        <f>'P&amp;L'!Y47</f>
        <v>102806.49778282081</v>
      </c>
      <c r="X9" s="330"/>
      <c r="Y9" s="330">
        <f>'P&amp;L'!AA47</f>
        <v>64433</v>
      </c>
      <c r="Z9" s="330">
        <f>'P&amp;L'!AB47</f>
        <v>69981</v>
      </c>
      <c r="AA9" s="330">
        <f>'P&amp;L'!AC47</f>
        <v>111482.45464575425</v>
      </c>
      <c r="AB9" s="330">
        <f>'P&amp;L'!AD47</f>
        <v>116633.63677289526</v>
      </c>
      <c r="AC9" s="330">
        <f>'P&amp;L'!AE47</f>
        <v>96592</v>
      </c>
      <c r="AD9" s="330">
        <f>'P&amp;L'!AF47</f>
        <v>89883</v>
      </c>
      <c r="AE9" s="330">
        <f>'P&amp;L'!AG47</f>
        <v>60886</v>
      </c>
      <c r="AF9" s="330">
        <f>'P&amp;L'!AH47</f>
        <v>53846</v>
      </c>
      <c r="AG9" s="330">
        <f>'P&amp;L'!AI47</f>
        <v>52158.999999999985</v>
      </c>
      <c r="AH9" s="330">
        <f>'P&amp;L'!AJ47</f>
        <v>54979.311493918009</v>
      </c>
      <c r="AI9" s="330">
        <f>'P&amp;L'!AK47</f>
        <v>65172</v>
      </c>
      <c r="AJ9" s="330">
        <f>'P&amp;L'!AL47</f>
        <v>63697</v>
      </c>
      <c r="AK9" s="330">
        <f>'P&amp;L'!AM47</f>
        <v>66593.797679275609</v>
      </c>
      <c r="AL9" s="330">
        <f>'P&amp;L'!AN47</f>
        <v>59678.202320724391</v>
      </c>
      <c r="AM9" s="330">
        <f>'P&amp;L'!AO47</f>
        <v>65193</v>
      </c>
      <c r="AN9" s="330">
        <f>'P&amp;L'!AP47</f>
        <v>71509</v>
      </c>
      <c r="AO9" s="330">
        <f>'P&amp;L'!AQ47</f>
        <v>80227</v>
      </c>
      <c r="AQ9" s="173"/>
    </row>
    <row r="10" spans="3:43" ht="11.25" customHeight="1">
      <c r="C10" s="39" t="s">
        <v>692</v>
      </c>
      <c r="D10" s="330">
        <f>'P&amp;L'!E65</f>
        <v>157596</v>
      </c>
      <c r="E10" s="330">
        <f>'P&amp;L'!F65</f>
        <v>116571</v>
      </c>
      <c r="F10" s="330">
        <f>'P&amp;L'!G65</f>
        <v>146117</v>
      </c>
      <c r="G10" s="330">
        <f>'P&amp;L'!H65</f>
        <v>180581</v>
      </c>
      <c r="H10" s="330">
        <f>'P&amp;L'!I65</f>
        <v>171747.43173070834</v>
      </c>
      <c r="I10" s="330">
        <f>'P&amp;L'!K65</f>
        <v>89452</v>
      </c>
      <c r="J10" s="330">
        <f>'P&amp;L'!L65</f>
        <v>167401.29693211147</v>
      </c>
      <c r="K10" s="330">
        <f>'P&amp;L'!M65</f>
        <v>132530</v>
      </c>
      <c r="L10" s="330">
        <f>'P&amp;L'!N65</f>
        <v>73128</v>
      </c>
      <c r="M10" s="330">
        <f>'P&amp;L'!O65</f>
        <v>71046</v>
      </c>
      <c r="N10" s="330">
        <f>'P&amp;L'!P65</f>
        <v>87136</v>
      </c>
      <c r="O10" s="330">
        <f>'P&amp;L'!Q65</f>
        <v>88855</v>
      </c>
      <c r="P10" s="330">
        <f>'P&amp;L'!R65</f>
        <v>103123</v>
      </c>
      <c r="Q10" s="331"/>
      <c r="R10" s="330">
        <f>'P&amp;L'!T65</f>
        <v>71463</v>
      </c>
      <c r="S10" s="330">
        <f>'P&amp;L'!U65</f>
        <v>74654</v>
      </c>
      <c r="T10" s="330">
        <f>'P&amp;L'!V65</f>
        <v>93723</v>
      </c>
      <c r="U10" s="330">
        <f>'P&amp;L'!W65</f>
        <v>86858</v>
      </c>
      <c r="V10" s="330">
        <f>'P&amp;L'!X65</f>
        <v>90912</v>
      </c>
      <c r="W10" s="330">
        <f>'P&amp;L'!Y65</f>
        <v>80835.431730708311</v>
      </c>
      <c r="X10" s="330"/>
      <c r="Y10" s="330">
        <f>'P&amp;L'!AA65</f>
        <v>46614</v>
      </c>
      <c r="Z10" s="330">
        <f>'P&amp;L'!AB65</f>
        <v>42838</v>
      </c>
      <c r="AA10" s="330">
        <f>'P&amp;L'!AC65</f>
        <v>85555.221257954763</v>
      </c>
      <c r="AB10" s="330">
        <f>'P&amp;L'!AD65</f>
        <v>81846.075674156658</v>
      </c>
      <c r="AC10" s="330">
        <f>'P&amp;L'!AE65</f>
        <v>70657</v>
      </c>
      <c r="AD10" s="330">
        <f>'P&amp;L'!AF65</f>
        <v>61873</v>
      </c>
      <c r="AE10" s="330">
        <f>'P&amp;L'!AG65</f>
        <v>39892</v>
      </c>
      <c r="AF10" s="330">
        <f>'P&amp;L'!AH65</f>
        <v>33236</v>
      </c>
      <c r="AG10" s="330">
        <f>'P&amp;L'!AI65</f>
        <v>33083</v>
      </c>
      <c r="AH10" s="330">
        <f>'P&amp;L'!AJ65</f>
        <v>37963.054669173885</v>
      </c>
      <c r="AI10" s="330">
        <f>'P&amp;L'!AK65</f>
        <v>43220</v>
      </c>
      <c r="AJ10" s="330">
        <f>'P&amp;L'!AL65</f>
        <v>43916</v>
      </c>
      <c r="AK10" s="330">
        <f>'P&amp;L'!AM65</f>
        <v>46301.032531320983</v>
      </c>
      <c r="AL10" s="330">
        <f>'P&amp;L'!AN65</f>
        <v>42553.967468679017</v>
      </c>
      <c r="AM10" s="330">
        <f>'P&amp;L'!AO65</f>
        <v>47015</v>
      </c>
      <c r="AN10" s="330">
        <f>'P&amp;L'!AP65</f>
        <v>56108</v>
      </c>
      <c r="AO10" s="330">
        <f>'P&amp;L'!AQ65</f>
        <v>66084</v>
      </c>
      <c r="AQ10" s="173"/>
    </row>
    <row r="11" spans="3:43">
      <c r="C11" s="208" t="s">
        <v>747</v>
      </c>
      <c r="D11" s="371">
        <f>'P&amp;L'!E78</f>
        <v>51480</v>
      </c>
      <c r="E11" s="371">
        <f>'P&amp;L'!F78</f>
        <v>27511</v>
      </c>
      <c r="F11" s="371">
        <f>'P&amp;L'!G78</f>
        <v>29750</v>
      </c>
      <c r="G11" s="371">
        <f>'P&amp;L'!H78</f>
        <v>38577</v>
      </c>
      <c r="H11" s="371">
        <f>'P&amp;L'!I78</f>
        <v>42176</v>
      </c>
      <c r="I11" s="371">
        <f>'P&amp;L'!K78</f>
        <v>44962</v>
      </c>
      <c r="J11" s="371">
        <f>'P&amp;L'!L78</f>
        <v>60715.110834566076</v>
      </c>
      <c r="K11" s="371">
        <f>'P&amp;L'!M78</f>
        <v>53945</v>
      </c>
      <c r="L11" s="371">
        <f>'P&amp;L'!N78</f>
        <v>41604</v>
      </c>
      <c r="M11" s="371">
        <f>'P&amp;L'!O78</f>
        <v>36093</v>
      </c>
      <c r="N11" s="371">
        <f>'P&amp;L'!P78</f>
        <v>41733</v>
      </c>
      <c r="O11" s="371">
        <f>'P&amp;L'!Q78</f>
        <v>37417</v>
      </c>
      <c r="P11" s="371">
        <f>'P&amp;L'!R78</f>
        <v>33579</v>
      </c>
      <c r="Q11" s="331"/>
      <c r="R11" s="371">
        <f>'P&amp;L'!T78</f>
        <v>14443</v>
      </c>
      <c r="S11" s="371">
        <f>'P&amp;L'!U78</f>
        <v>15307</v>
      </c>
      <c r="T11" s="371">
        <f>'P&amp;L'!V78</f>
        <v>20979</v>
      </c>
      <c r="U11" s="371">
        <f>'P&amp;L'!W78</f>
        <v>17598</v>
      </c>
      <c r="V11" s="371">
        <f>'P&amp;L'!X78</f>
        <v>20205</v>
      </c>
      <c r="W11" s="371">
        <f>'P&amp;L'!Y78</f>
        <v>21970.801419261461</v>
      </c>
      <c r="X11" s="371"/>
      <c r="Y11" s="371">
        <f>'P&amp;L'!AA78</f>
        <v>17819</v>
      </c>
      <c r="Z11" s="371">
        <f>'P&amp;L'!AB78</f>
        <v>27143</v>
      </c>
      <c r="AA11" s="371">
        <f>'P&amp;L'!AC78</f>
        <v>25927.233387799424</v>
      </c>
      <c r="AB11" s="371">
        <f>'P&amp;L'!AD78</f>
        <v>34787.561098738559</v>
      </c>
      <c r="AC11" s="371">
        <f>'P&amp;L'!AE78</f>
        <v>25937</v>
      </c>
      <c r="AD11" s="371">
        <f>'P&amp;L'!AF78</f>
        <v>28008</v>
      </c>
      <c r="AE11" s="371">
        <f>'P&amp;L'!AG78</f>
        <v>20994</v>
      </c>
      <c r="AF11" s="371">
        <f>'P&amp;L'!AH78</f>
        <v>20610</v>
      </c>
      <c r="AG11" s="371">
        <f>'P&amp;L'!AI78</f>
        <v>19076</v>
      </c>
      <c r="AH11" s="371">
        <f>'P&amp;L'!AJ78</f>
        <v>17017.107919417758</v>
      </c>
      <c r="AI11" s="371">
        <f>'P&amp;L'!AK78</f>
        <v>21952</v>
      </c>
      <c r="AJ11" s="371">
        <f>'P&amp;L'!AL78</f>
        <v>19781</v>
      </c>
      <c r="AK11" s="371">
        <f>'P&amp;L'!AM78</f>
        <v>20293.913556386884</v>
      </c>
      <c r="AL11" s="371">
        <f>'P&amp;L'!AN78</f>
        <v>17123.086443613116</v>
      </c>
      <c r="AM11" s="371">
        <f>'P&amp;L'!AO78</f>
        <v>18178</v>
      </c>
      <c r="AN11" s="371">
        <f>'P&amp;L'!AP78</f>
        <v>15401</v>
      </c>
      <c r="AO11" s="371">
        <f>'P&amp;L'!AQ78</f>
        <v>14143</v>
      </c>
      <c r="AQ11" s="173"/>
    </row>
    <row r="12" spans="3:43">
      <c r="C12" s="39"/>
      <c r="D12" s="330"/>
      <c r="E12" s="330"/>
      <c r="F12" s="330"/>
      <c r="G12" s="330"/>
      <c r="H12" s="330"/>
      <c r="I12" s="330"/>
      <c r="J12" s="330"/>
      <c r="K12" s="330"/>
      <c r="L12" s="330"/>
      <c r="M12" s="330"/>
      <c r="N12" s="330"/>
      <c r="O12" s="330"/>
      <c r="P12" s="330"/>
      <c r="Q12" s="331"/>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Q12" s="173"/>
    </row>
    <row r="13" spans="3:43" ht="11.25" customHeight="1">
      <c r="C13" s="39" t="s">
        <v>237</v>
      </c>
      <c r="D13" s="372">
        <v>24.873955421686723</v>
      </c>
      <c r="E13" s="372">
        <v>31.766885140562248</v>
      </c>
      <c r="F13" s="372">
        <v>30.376541365461843</v>
      </c>
      <c r="G13" s="372">
        <v>29.39482771084338</v>
      </c>
      <c r="H13" s="372">
        <v>31.07417188755019</v>
      </c>
      <c r="I13" s="372">
        <v>31.90630528455284</v>
      </c>
      <c r="J13" s="372">
        <v>31.90630528455284</v>
      </c>
      <c r="K13" s="372">
        <v>38.602468016194337</v>
      </c>
      <c r="L13" s="372">
        <v>61.319434817813764</v>
      </c>
      <c r="M13" s="372">
        <v>66.833471774193569</v>
      </c>
      <c r="N13" s="372">
        <v>58.298184615384642</v>
      </c>
      <c r="O13" s="372">
        <v>62.926389473684253</v>
      </c>
      <c r="P13" s="372">
        <v>64.618432113821143</v>
      </c>
      <c r="Q13" s="331"/>
      <c r="R13" s="372">
        <v>30.053764406779663</v>
      </c>
      <c r="S13" s="372">
        <v>30.667287022900783</v>
      </c>
      <c r="T13" s="372">
        <v>28.555183898305089</v>
      </c>
      <c r="U13" s="372">
        <v>30.151148091603062</v>
      </c>
      <c r="V13" s="372">
        <v>30.566608403361347</v>
      </c>
      <c r="W13" s="372">
        <v>31.538787692307693</v>
      </c>
      <c r="X13" s="330"/>
      <c r="Y13" s="372">
        <v>31.049121551724099</v>
      </c>
      <c r="Z13" s="372">
        <v>32.671176923076921</v>
      </c>
      <c r="AA13" s="372">
        <v>31.049121551724099</v>
      </c>
      <c r="AB13" s="372">
        <v>32.671176923076921</v>
      </c>
      <c r="AC13" s="372">
        <v>35.082399999999993</v>
      </c>
      <c r="AD13" s="372">
        <v>41.770529230769206</v>
      </c>
      <c r="AE13" s="372">
        <v>57.708963793103436</v>
      </c>
      <c r="AF13" s="372">
        <v>64.516493129771007</v>
      </c>
      <c r="AG13" s="372">
        <v>70.228164957264909</v>
      </c>
      <c r="AH13" s="372">
        <v>63.801570229007602</v>
      </c>
      <c r="AI13" s="372">
        <v>57.836649572649577</v>
      </c>
      <c r="AJ13" s="372">
        <v>58.713566153846159</v>
      </c>
      <c r="AK13" s="372">
        <v>59.472872649572643</v>
      </c>
      <c r="AL13" s="372">
        <v>66.121521374045798</v>
      </c>
      <c r="AM13" s="372">
        <v>65.12182327586207</v>
      </c>
      <c r="AN13" s="372">
        <v>64.169252307692318</v>
      </c>
      <c r="AO13" s="372">
        <v>69.337090178571458</v>
      </c>
      <c r="AQ13" s="173"/>
    </row>
    <row r="14" spans="3:43">
      <c r="C14" s="39" t="s">
        <v>447</v>
      </c>
      <c r="D14" s="372">
        <v>36.446645381526096</v>
      </c>
      <c r="E14" s="372">
        <v>44.198686345381539</v>
      </c>
      <c r="F14" s="372">
        <v>40.215720883534132</v>
      </c>
      <c r="G14" s="372">
        <v>40.903816064257043</v>
      </c>
      <c r="H14" s="372">
        <v>39.908307630522081</v>
      </c>
      <c r="I14" s="372">
        <v>42.400078455284572</v>
      </c>
      <c r="J14" s="372">
        <v>42.308</v>
      </c>
      <c r="K14" s="372">
        <v>50.992808502024282</v>
      </c>
      <c r="L14" s="372">
        <v>67.991534008097162</v>
      </c>
      <c r="M14" s="372">
        <v>73.992421774193559</v>
      </c>
      <c r="N14" s="372">
        <v>66.030461943319835</v>
      </c>
      <c r="O14" s="372">
        <v>74.132998785425059</v>
      </c>
      <c r="P14" s="372">
        <v>72.318717479674788</v>
      </c>
      <c r="Q14" s="331"/>
      <c r="R14" s="372">
        <v>39.822779661016959</v>
      </c>
      <c r="S14" s="373">
        <v>40.569667938931303</v>
      </c>
      <c r="T14" s="372">
        <v>40.144923728813573</v>
      </c>
      <c r="U14" s="372">
        <v>41.587398473282441</v>
      </c>
      <c r="V14" s="372">
        <v>39.634079831932787</v>
      </c>
      <c r="W14" s="372">
        <v>40.159331538461565</v>
      </c>
      <c r="X14" s="372"/>
      <c r="Y14" s="372">
        <v>40.76356982758621</v>
      </c>
      <c r="Z14" s="372">
        <v>43.860347692307677</v>
      </c>
      <c r="AA14" s="372">
        <v>40.76356982758621</v>
      </c>
      <c r="AB14" s="372">
        <v>43.860347692307677</v>
      </c>
      <c r="AC14" s="372">
        <v>48.113955555555556</v>
      </c>
      <c r="AD14" s="372">
        <v>53.583776153846159</v>
      </c>
      <c r="AE14" s="372">
        <v>64.305700000000002</v>
      </c>
      <c r="AF14" s="372">
        <v>71.251052671755701</v>
      </c>
      <c r="AG14" s="372">
        <v>78.388299999999973</v>
      </c>
      <c r="AH14" s="372">
        <v>70.14</v>
      </c>
      <c r="AI14" s="372">
        <v>62.686779487179464</v>
      </c>
      <c r="AJ14" s="372">
        <v>69.032200000000003</v>
      </c>
      <c r="AK14" s="372">
        <v>71.971417094017085</v>
      </c>
      <c r="AL14" s="372">
        <v>76.052099999999996</v>
      </c>
      <c r="AM14" s="372">
        <v>73.576601724137916</v>
      </c>
      <c r="AN14" s="372">
        <v>71.196297692307667</v>
      </c>
      <c r="AO14" s="372">
        <v>76.357745535714315</v>
      </c>
      <c r="AQ14" s="173"/>
    </row>
    <row r="15" spans="3:43">
      <c r="C15" s="39"/>
      <c r="D15" s="330"/>
      <c r="E15" s="330"/>
      <c r="F15" s="330"/>
      <c r="G15" s="330"/>
      <c r="H15" s="330"/>
      <c r="I15" s="330"/>
      <c r="J15" s="330"/>
      <c r="K15" s="330"/>
      <c r="L15" s="330"/>
      <c r="M15" s="372"/>
      <c r="N15" s="330"/>
      <c r="O15" s="330"/>
      <c r="P15" s="330"/>
      <c r="Q15" s="331"/>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Q15" s="173"/>
    </row>
    <row r="16" spans="3:43">
      <c r="C16" s="39" t="s">
        <v>545</v>
      </c>
      <c r="D16" s="372">
        <v>29.38</v>
      </c>
      <c r="E16" s="372">
        <v>30.244</v>
      </c>
      <c r="F16" s="372">
        <v>30.477</v>
      </c>
      <c r="G16" s="372">
        <v>32.196100000000001</v>
      </c>
      <c r="H16" s="372">
        <v>30.372699999999998</v>
      </c>
      <c r="I16" s="372">
        <v>32.729199999999999</v>
      </c>
      <c r="J16" s="372">
        <v>32.729199999999999</v>
      </c>
      <c r="K16" s="372">
        <v>56.258400000000002</v>
      </c>
      <c r="L16" s="372">
        <v>72.8827</v>
      </c>
      <c r="M16" s="372">
        <v>60.6569</v>
      </c>
      <c r="N16" s="372">
        <v>57.600200000000001</v>
      </c>
      <c r="O16" s="372">
        <v>69.470600000000005</v>
      </c>
      <c r="P16" s="372">
        <v>61.905700000000003</v>
      </c>
      <c r="Q16" s="413"/>
      <c r="R16" s="372">
        <v>31.195399999999999</v>
      </c>
      <c r="S16" s="372">
        <f>F16</f>
        <v>30.477</v>
      </c>
      <c r="T16" s="374">
        <v>28.075800000000001</v>
      </c>
      <c r="U16" s="374">
        <f>G16</f>
        <v>32.196100000000001</v>
      </c>
      <c r="V16" s="374">
        <v>32.816899999999997</v>
      </c>
      <c r="W16" s="374">
        <f>H16</f>
        <v>30.372699999999998</v>
      </c>
      <c r="X16" s="372"/>
      <c r="Y16" s="372">
        <v>32.709000000000003</v>
      </c>
      <c r="Z16" s="372">
        <f>I16</f>
        <v>32.729199999999999</v>
      </c>
      <c r="AA16" s="372">
        <v>32.709000000000003</v>
      </c>
      <c r="AB16" s="372">
        <v>32.729199999999999</v>
      </c>
      <c r="AC16" s="372">
        <v>33.630600000000001</v>
      </c>
      <c r="AD16" s="372">
        <f>K16</f>
        <v>56.258400000000002</v>
      </c>
      <c r="AE16" s="372">
        <v>55.524000000000001</v>
      </c>
      <c r="AF16" s="372">
        <f>L16</f>
        <v>72.8827</v>
      </c>
      <c r="AG16" s="372">
        <v>64.257499999999993</v>
      </c>
      <c r="AH16" s="372">
        <f>M16</f>
        <v>60.6569</v>
      </c>
      <c r="AI16" s="372">
        <v>59.085500000000003</v>
      </c>
      <c r="AJ16" s="372">
        <f>N16</f>
        <v>57.600200000000001</v>
      </c>
      <c r="AK16" s="372">
        <v>62.756500000000003</v>
      </c>
      <c r="AL16" s="372">
        <f>O16</f>
        <v>69.470600000000005</v>
      </c>
      <c r="AM16" s="372">
        <v>63.075600000000001</v>
      </c>
      <c r="AN16" s="372">
        <v>61.905700000000003</v>
      </c>
      <c r="AO16" s="372">
        <v>69.951300000000003</v>
      </c>
      <c r="AQ16" s="173"/>
    </row>
    <row r="17" spans="2:43">
      <c r="C17" s="39" t="s">
        <v>546</v>
      </c>
      <c r="D17" s="372">
        <v>41.441099999999999</v>
      </c>
      <c r="E17" s="372">
        <v>43.388300000000001</v>
      </c>
      <c r="F17" s="372">
        <v>40.333100000000002</v>
      </c>
      <c r="G17" s="372">
        <v>41.671399999999998</v>
      </c>
      <c r="H17" s="372">
        <v>40.2286</v>
      </c>
      <c r="I17" s="372">
        <v>44.969900000000003</v>
      </c>
      <c r="J17" s="372">
        <v>44.969900000000003</v>
      </c>
      <c r="K17" s="372">
        <v>68.342699999999994</v>
      </c>
      <c r="L17" s="372">
        <v>79.697199999999995</v>
      </c>
      <c r="M17" s="372">
        <v>63.811100000000003</v>
      </c>
      <c r="N17" s="372">
        <v>68.866799999999998</v>
      </c>
      <c r="O17" s="372">
        <v>79.460499999999996</v>
      </c>
      <c r="P17" s="372">
        <v>69.340599999999995</v>
      </c>
      <c r="Q17" s="413"/>
      <c r="R17" s="372">
        <v>38.186300000000003</v>
      </c>
      <c r="S17" s="372">
        <f>F17</f>
        <v>40.333100000000002</v>
      </c>
      <c r="T17" s="374">
        <v>40.387</v>
      </c>
      <c r="U17" s="374">
        <f>G17</f>
        <v>41.671399999999998</v>
      </c>
      <c r="V17" s="374">
        <v>41.323</v>
      </c>
      <c r="W17" s="374">
        <f>H17</f>
        <v>40.2286</v>
      </c>
      <c r="X17" s="372"/>
      <c r="Y17" s="372">
        <v>42.718000000000004</v>
      </c>
      <c r="Z17" s="372">
        <f>I17</f>
        <v>44.969900000000003</v>
      </c>
      <c r="AA17" s="372">
        <v>42.718000000000004</v>
      </c>
      <c r="AB17" s="372">
        <v>44.969900000000003</v>
      </c>
      <c r="AC17" s="372">
        <v>45.825099999999999</v>
      </c>
      <c r="AD17" s="372">
        <f>K17</f>
        <v>68.342699999999994</v>
      </c>
      <c r="AE17" s="372">
        <v>61.520600000000002</v>
      </c>
      <c r="AF17" s="372">
        <f>L17</f>
        <v>79.697199999999995</v>
      </c>
      <c r="AG17" s="372">
        <v>71.2102</v>
      </c>
      <c r="AH17" s="372">
        <f>M17</f>
        <v>63.811100000000003</v>
      </c>
      <c r="AI17" s="372">
        <v>67.499300000000005</v>
      </c>
      <c r="AJ17" s="372">
        <f>N17</f>
        <v>68.866799999999998</v>
      </c>
      <c r="AK17" s="372">
        <v>72.992099999999994</v>
      </c>
      <c r="AL17" s="372">
        <f>O17</f>
        <v>79.460499999999996</v>
      </c>
      <c r="AM17" s="372">
        <v>71.817899999999995</v>
      </c>
      <c r="AN17" s="372">
        <v>69.340599999999995</v>
      </c>
      <c r="AO17" s="372">
        <v>78.681200000000004</v>
      </c>
      <c r="AQ17" s="173"/>
    </row>
    <row r="18" spans="2:43">
      <c r="C18" s="39"/>
      <c r="D18" s="330"/>
      <c r="E18" s="330"/>
      <c r="F18" s="330"/>
      <c r="G18" s="330"/>
      <c r="H18" s="330"/>
      <c r="I18" s="330"/>
      <c r="J18" s="330"/>
      <c r="K18" s="330"/>
      <c r="L18" s="330"/>
      <c r="M18" s="330"/>
      <c r="N18" s="330"/>
      <c r="O18" s="330"/>
      <c r="P18" s="330"/>
      <c r="Q18" s="331"/>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Q18" s="173"/>
    </row>
    <row r="19" spans="2:43">
      <c r="C19" s="39" t="s">
        <v>459</v>
      </c>
      <c r="D19" s="330">
        <f>'Segment data'!E9</f>
        <v>400026</v>
      </c>
      <c r="E19" s="330">
        <f>'Segment data'!F9</f>
        <v>152185</v>
      </c>
      <c r="F19" s="330">
        <f>'Segment data'!G9</f>
        <v>239184</v>
      </c>
      <c r="G19" s="330">
        <f>'Segment data'!H9</f>
        <v>349749</v>
      </c>
      <c r="H19" s="330">
        <f>'Segment data'!I9</f>
        <v>377511</v>
      </c>
      <c r="I19" s="216" t="s">
        <v>694</v>
      </c>
      <c r="J19" s="216" t="s">
        <v>694</v>
      </c>
      <c r="K19" s="330">
        <f>'Segment data'!K9</f>
        <v>602237</v>
      </c>
      <c r="L19" s="330">
        <f>'Segment data'!L9</f>
        <v>439160</v>
      </c>
      <c r="M19" s="330">
        <f>'Segment data'!M9</f>
        <v>359681</v>
      </c>
      <c r="N19" s="330">
        <f>'Segment data'!N9</f>
        <v>360470</v>
      </c>
      <c r="O19" s="330">
        <f>'Segment data'!O9</f>
        <v>365190</v>
      </c>
      <c r="P19" s="330">
        <f>'Segment data'!P9</f>
        <v>376752</v>
      </c>
      <c r="Q19" s="331"/>
      <c r="R19" s="330">
        <f>'Segment data'!R9</f>
        <v>95193</v>
      </c>
      <c r="S19" s="330">
        <f>'Segment data'!S9</f>
        <v>143991</v>
      </c>
      <c r="T19" s="330">
        <f>'Segment data'!T9</f>
        <v>177937</v>
      </c>
      <c r="U19" s="330">
        <f>'Segment data'!U9</f>
        <v>171812</v>
      </c>
      <c r="V19" s="330">
        <f>'Segment data'!V9</f>
        <v>184465</v>
      </c>
      <c r="W19" s="330">
        <f>'Segment data'!W9</f>
        <v>193046</v>
      </c>
      <c r="X19" s="330"/>
      <c r="Y19" s="216" t="s">
        <v>694</v>
      </c>
      <c r="Z19" s="216" t="s">
        <v>694</v>
      </c>
      <c r="AA19" s="216" t="s">
        <v>694</v>
      </c>
      <c r="AB19" s="216" t="s">
        <v>694</v>
      </c>
      <c r="AC19" s="330">
        <f>'Segment data'!Z9</f>
        <v>306563</v>
      </c>
      <c r="AD19" s="330">
        <f>'Segment data'!AA9</f>
        <v>295674</v>
      </c>
      <c r="AE19" s="330">
        <f>'Segment data'!AB9</f>
        <v>231663</v>
      </c>
      <c r="AF19" s="330">
        <f>'Segment data'!AC9</f>
        <v>207497</v>
      </c>
      <c r="AG19" s="330">
        <f>'Segment data'!AD9</f>
        <v>177965</v>
      </c>
      <c r="AH19" s="330">
        <f>'Segment data'!AE9</f>
        <v>181716</v>
      </c>
      <c r="AI19" s="330">
        <f>'Segment data'!AF9</f>
        <v>177683</v>
      </c>
      <c r="AJ19" s="330">
        <f>'Segment data'!AG9</f>
        <v>182787</v>
      </c>
      <c r="AK19" s="330">
        <f>'Segment data'!AH9</f>
        <v>189086</v>
      </c>
      <c r="AL19" s="330">
        <f>'Segment data'!AI9</f>
        <v>176104</v>
      </c>
      <c r="AM19" s="330">
        <f>'Segment data'!AJ9</f>
        <v>189169</v>
      </c>
      <c r="AN19" s="330">
        <f>'Segment data'!AK9</f>
        <v>187583</v>
      </c>
      <c r="AO19" s="330">
        <f>'Segment data'!AL9</f>
        <v>189701</v>
      </c>
      <c r="AQ19" s="173"/>
    </row>
    <row r="20" spans="2:43">
      <c r="C20" s="39" t="s">
        <v>460</v>
      </c>
      <c r="D20" s="216" t="s">
        <v>694</v>
      </c>
      <c r="E20" s="216" t="s">
        <v>694</v>
      </c>
      <c r="F20" s="330">
        <v>179374.53</v>
      </c>
      <c r="G20" s="330">
        <v>261434.797784233</v>
      </c>
      <c r="H20" s="330">
        <v>283010.57497249806</v>
      </c>
      <c r="I20" s="216" t="s">
        <v>694</v>
      </c>
      <c r="J20" s="216" t="s">
        <v>694</v>
      </c>
      <c r="K20" s="330">
        <v>508756.08652426681</v>
      </c>
      <c r="L20" s="330">
        <v>368406</v>
      </c>
      <c r="M20" s="330">
        <v>292579</v>
      </c>
      <c r="N20" s="330">
        <v>277023</v>
      </c>
      <c r="O20" s="330">
        <v>268321</v>
      </c>
      <c r="P20" s="339">
        <v>274504.77379695821</v>
      </c>
      <c r="Q20" s="331"/>
      <c r="R20" s="216" t="s">
        <v>694</v>
      </c>
      <c r="S20" s="216" t="s">
        <v>694</v>
      </c>
      <c r="T20" s="330">
        <v>136479</v>
      </c>
      <c r="U20" s="330">
        <v>124955.797784233</v>
      </c>
      <c r="V20" s="330">
        <v>137568.31573889693</v>
      </c>
      <c r="W20" s="330">
        <v>145443</v>
      </c>
      <c r="X20" s="330"/>
      <c r="Y20" s="216" t="s">
        <v>694</v>
      </c>
      <c r="Z20" s="216" t="s">
        <v>694</v>
      </c>
      <c r="AA20" s="216" t="s">
        <v>694</v>
      </c>
      <c r="AB20" s="216" t="s">
        <v>694</v>
      </c>
      <c r="AC20" s="330">
        <v>256446.31040751579</v>
      </c>
      <c r="AD20" s="330">
        <v>252309.77611675105</v>
      </c>
      <c r="AE20" s="330">
        <v>195783.61611532813</v>
      </c>
      <c r="AF20" s="330">
        <v>172622</v>
      </c>
      <c r="AG20" s="330">
        <v>147696</v>
      </c>
      <c r="AH20" s="330">
        <v>144843.4865312218</v>
      </c>
      <c r="AI20" s="330">
        <v>137561</v>
      </c>
      <c r="AJ20" s="330">
        <v>139462.1990316796</v>
      </c>
      <c r="AK20" s="330">
        <v>139399</v>
      </c>
      <c r="AL20" s="330">
        <v>128921.96519975581</v>
      </c>
      <c r="AM20" s="330">
        <v>134331.34092044973</v>
      </c>
      <c r="AN20" s="330">
        <f>P20-AM20</f>
        <v>140173.43287650848</v>
      </c>
      <c r="AO20" s="330">
        <v>145648</v>
      </c>
      <c r="AQ20" s="173"/>
    </row>
    <row r="21" spans="2:43">
      <c r="C21" s="39" t="s">
        <v>461</v>
      </c>
      <c r="D21" s="216" t="s">
        <v>694</v>
      </c>
      <c r="E21" s="216" t="s">
        <v>694</v>
      </c>
      <c r="F21" s="330">
        <v>59809</v>
      </c>
      <c r="G21" s="330">
        <v>88314.202215767393</v>
      </c>
      <c r="H21" s="330">
        <v>94500</v>
      </c>
      <c r="I21" s="216" t="s">
        <v>694</v>
      </c>
      <c r="J21" s="216" t="s">
        <v>694</v>
      </c>
      <c r="K21" s="330">
        <v>93481</v>
      </c>
      <c r="L21" s="330">
        <v>70754</v>
      </c>
      <c r="M21" s="330">
        <v>67102</v>
      </c>
      <c r="N21" s="330">
        <v>83447</v>
      </c>
      <c r="O21" s="330">
        <v>96869</v>
      </c>
      <c r="P21" s="339">
        <v>102247.22620304179</v>
      </c>
      <c r="Q21" s="331"/>
      <c r="R21" s="216" t="s">
        <v>694</v>
      </c>
      <c r="S21" s="216" t="s">
        <v>694</v>
      </c>
      <c r="T21" s="330">
        <v>41458</v>
      </c>
      <c r="U21" s="330">
        <v>46856.202215767393</v>
      </c>
      <c r="V21" s="330">
        <v>46896.684261103073</v>
      </c>
      <c r="W21" s="330">
        <v>47603</v>
      </c>
      <c r="X21" s="330"/>
      <c r="Y21" s="216" t="s">
        <v>694</v>
      </c>
      <c r="Z21" s="216" t="s">
        <v>694</v>
      </c>
      <c r="AA21" s="216" t="s">
        <v>694</v>
      </c>
      <c r="AB21" s="216" t="s">
        <v>694</v>
      </c>
      <c r="AC21" s="330">
        <v>50116.68959248421</v>
      </c>
      <c r="AD21" s="330">
        <v>43364.223883248953</v>
      </c>
      <c r="AE21" s="330">
        <v>35879.383884671879</v>
      </c>
      <c r="AF21" s="330">
        <v>34875</v>
      </c>
      <c r="AG21" s="330">
        <v>30241</v>
      </c>
      <c r="AH21" s="330">
        <v>36872.45301605259</v>
      </c>
      <c r="AI21" s="330">
        <v>40122</v>
      </c>
      <c r="AJ21" s="330">
        <v>43323.556264290317</v>
      </c>
      <c r="AK21" s="330">
        <v>49687</v>
      </c>
      <c r="AL21" s="330">
        <v>47182</v>
      </c>
      <c r="AM21" s="330">
        <f>AM19-AM20</f>
        <v>54837.659079550271</v>
      </c>
      <c r="AN21" s="330">
        <f>P21-AM21</f>
        <v>47409.567123491521</v>
      </c>
      <c r="AO21" s="330">
        <v>44053</v>
      </c>
      <c r="AQ21" s="173"/>
    </row>
    <row r="22" spans="2:43" s="72" customFormat="1">
      <c r="C22" s="209" t="s">
        <v>457</v>
      </c>
      <c r="D22" s="216" t="s">
        <v>694</v>
      </c>
      <c r="E22" s="216" t="s">
        <v>694</v>
      </c>
      <c r="F22" s="375">
        <f>F20/SUM('Operational Data'!H20,'Operational Data'!H26)</f>
        <v>191.55272431136413</v>
      </c>
      <c r="G22" s="375">
        <f>G20/SUM('Operational Data'!I20,'Operational Data'!I26)</f>
        <v>194.45295094341236</v>
      </c>
      <c r="H22" s="375">
        <f>H20/SUM('Operational Data'!J20,'Operational Data'!J26)</f>
        <v>195.20730515176149</v>
      </c>
      <c r="I22" s="216" t="s">
        <v>694</v>
      </c>
      <c r="J22" s="216" t="s">
        <v>694</v>
      </c>
      <c r="K22" s="375">
        <f>K20/SUM('Operational Data'!L20,'Operational Data'!L26)</f>
        <v>211.60944643392617</v>
      </c>
      <c r="L22" s="375">
        <f>L20/SUM('Operational Data'!M20,'Operational Data'!M26)</f>
        <v>235.90772085732229</v>
      </c>
      <c r="M22" s="375">
        <f>M20/SUM('Operational Data'!N20,'Operational Data'!N26)</f>
        <v>227.87697810012043</v>
      </c>
      <c r="N22" s="375">
        <f>N20/SUM('Operational Data'!O20,'Operational Data'!O26)</f>
        <v>201.87222767547763</v>
      </c>
      <c r="O22" s="375">
        <f>O20/SUM('Operational Data'!P20,'Operational Data'!P26)</f>
        <v>187.20763088726017</v>
      </c>
      <c r="P22" s="375">
        <f>P20/(SUM('Operational Data'!Q9:Q12,'Operational Data'!Q26))</f>
        <v>189.28240550444224</v>
      </c>
      <c r="Q22" s="344"/>
      <c r="R22" s="216" t="s">
        <v>694</v>
      </c>
      <c r="S22" s="216" t="s">
        <v>694</v>
      </c>
      <c r="T22" s="375">
        <f>T20/SUM('Operational Data'!Y20,'Operational Data'!Y26)</f>
        <v>203.96439264927747</v>
      </c>
      <c r="U22" s="375">
        <f>U20/SUM('Operational Data'!Z20,'Operational Data'!Z26)</f>
        <v>185.02883070645009</v>
      </c>
      <c r="V22" s="375">
        <f>V20/SUM('Operational Data'!AA20,'Operational Data'!AA26)</f>
        <v>194.0090366683923</v>
      </c>
      <c r="W22" s="375">
        <f>W20/SUM('Operational Data'!AB20,'Operational Data'!AB26)</f>
        <v>196.35540350986145</v>
      </c>
      <c r="X22" s="376"/>
      <c r="Y22" s="216" t="s">
        <v>694</v>
      </c>
      <c r="Z22" s="216" t="s">
        <v>694</v>
      </c>
      <c r="AA22" s="216" t="s">
        <v>694</v>
      </c>
      <c r="AB22" s="216" t="s">
        <v>694</v>
      </c>
      <c r="AC22" s="375">
        <f>AC20/SUM('Operational Data'!AE20,'Operational Data'!AE26)</f>
        <v>207.9650759677597</v>
      </c>
      <c r="AD22" s="375">
        <f>AD20/SUM('Operational Data'!AF20,'Operational Data'!AF26)</f>
        <v>215.44682445286574</v>
      </c>
      <c r="AE22" s="375">
        <f>AE20/SUM('Operational Data'!AG20,'Operational Data'!AG26)</f>
        <v>234.69034718057699</v>
      </c>
      <c r="AF22" s="375">
        <f>AF20/SUM('Operational Data'!AH20,'Operational Data'!AH26)</f>
        <v>237.30328058155263</v>
      </c>
      <c r="AG22" s="375">
        <f>AG20/SUM('Operational Data'!AI20,'Operational Data'!AI26)</f>
        <v>228.18791946308721</v>
      </c>
      <c r="AH22" s="375">
        <f>AH20/SUM('Operational Data'!AJ20,'Operational Data'!AJ26)</f>
        <v>227.4988087089892</v>
      </c>
      <c r="AI22" s="375">
        <f>AI20/SUM('Operational Data'!AK20,'Operational Data'!AK26)</f>
        <v>205.38604412274103</v>
      </c>
      <c r="AJ22" s="375">
        <f>AJ20/SUM('Operational Data'!AL20,'Operational Data'!AL26)</f>
        <v>198.52242065374941</v>
      </c>
      <c r="AK22" s="375">
        <f>AK20/SUM('Operational Data'!AM20,'Operational Data'!AM26)</f>
        <v>188.75063851048409</v>
      </c>
      <c r="AL22" s="375">
        <f>AL20/SUM('Operational Data'!AN20,'Operational Data'!AN26)</f>
        <v>185.56731635313076</v>
      </c>
      <c r="AM22" s="375">
        <f>AM20/SUM('Operational Data'!AO20,'Operational Data'!AO26)</f>
        <v>185.20822573924644</v>
      </c>
      <c r="AN22" s="375">
        <f>AN20/SUM('Operational Data'!AP20,'Operational Data'!AP26)</f>
        <v>193.46862078002292</v>
      </c>
      <c r="AO22" s="375">
        <f>AO20/SUM('Operational Data'!AQ20,'Operational Data'!AQ26)</f>
        <v>188.10693247817659</v>
      </c>
      <c r="AQ22" s="173"/>
    </row>
    <row r="23" spans="2:43">
      <c r="C23" s="39"/>
      <c r="D23" s="330"/>
      <c r="E23" s="330"/>
      <c r="F23" s="330"/>
      <c r="G23" s="330"/>
      <c r="H23" s="330"/>
      <c r="I23" s="330"/>
      <c r="J23" s="330"/>
      <c r="K23" s="330"/>
      <c r="L23" s="330"/>
      <c r="M23" s="330"/>
      <c r="N23" s="330"/>
      <c r="O23" s="330"/>
      <c r="P23" s="330"/>
      <c r="Q23" s="331"/>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Q23" s="173"/>
    </row>
    <row r="24" spans="2:43">
      <c r="C24" s="1" t="s">
        <v>462</v>
      </c>
      <c r="D24" s="330">
        <f>'P&amp;L'!E7</f>
        <v>512294</v>
      </c>
      <c r="E24" s="330">
        <f>'P&amp;L'!F7</f>
        <v>274550</v>
      </c>
      <c r="F24" s="330">
        <f>'P&amp;L'!G7</f>
        <v>382437</v>
      </c>
      <c r="G24" s="330">
        <f>'P&amp;L'!H7</f>
        <v>501341</v>
      </c>
      <c r="H24" s="330">
        <f>'P&amp;L'!I7</f>
        <v>501828.57456179406</v>
      </c>
      <c r="I24" s="216" t="s">
        <v>694</v>
      </c>
      <c r="J24" s="330">
        <f>'P&amp;L'!L7</f>
        <v>589117.58710648154</v>
      </c>
      <c r="K24" s="330">
        <v>562382</v>
      </c>
      <c r="L24" s="330">
        <v>405692</v>
      </c>
      <c r="M24" s="330">
        <v>331468</v>
      </c>
      <c r="N24" s="330">
        <v>330505</v>
      </c>
      <c r="O24" s="330">
        <f>'P&amp;L'!Q7</f>
        <v>343575</v>
      </c>
      <c r="P24" s="418">
        <f>'P&amp;L'!R7</f>
        <v>361873</v>
      </c>
      <c r="Q24" s="331"/>
      <c r="R24" s="330">
        <f>'P&amp;L'!T7</f>
        <v>165559</v>
      </c>
      <c r="S24" s="330">
        <f>'P&amp;L'!U7</f>
        <v>216878</v>
      </c>
      <c r="T24" s="330">
        <f>'P&amp;L'!V7</f>
        <v>259693</v>
      </c>
      <c r="U24" s="330">
        <f>'P&amp;L'!W7</f>
        <v>241648</v>
      </c>
      <c r="V24" s="330">
        <f>'P&amp;L'!X7</f>
        <v>255688</v>
      </c>
      <c r="W24" s="330">
        <f>'P&amp;L'!Y7</f>
        <v>246140.57456179406</v>
      </c>
      <c r="X24" s="330"/>
      <c r="Y24" s="216" t="s">
        <v>694</v>
      </c>
      <c r="Z24" s="216" t="s">
        <v>694</v>
      </c>
      <c r="AA24" s="216" t="s">
        <v>694</v>
      </c>
      <c r="AB24" s="216" t="s">
        <v>694</v>
      </c>
      <c r="AC24" s="330">
        <f>'P&amp;L'!AE7</f>
        <v>286518</v>
      </c>
      <c r="AD24" s="330">
        <f>'P&amp;L'!AF7</f>
        <v>275864</v>
      </c>
      <c r="AE24" s="330">
        <f>'P&amp;L'!AG7</f>
        <v>214329</v>
      </c>
      <c r="AF24" s="330">
        <f>'P&amp;L'!AH7</f>
        <v>191363</v>
      </c>
      <c r="AG24" s="330">
        <f>'P&amp;L'!AI7</f>
        <v>163707</v>
      </c>
      <c r="AH24" s="330">
        <f>'P&amp;L'!AJ7</f>
        <v>167761</v>
      </c>
      <c r="AI24" s="330">
        <f>'P&amp;L'!AK7</f>
        <v>162467</v>
      </c>
      <c r="AJ24" s="330">
        <f>'P&amp;L'!AL7</f>
        <v>168038</v>
      </c>
      <c r="AK24" s="330">
        <f>'P&amp;L'!AM7</f>
        <v>175339</v>
      </c>
      <c r="AL24" s="330">
        <f>'P&amp;L'!AN7</f>
        <v>168236</v>
      </c>
      <c r="AM24" s="330">
        <f>'P&amp;L'!AO7</f>
        <v>181240</v>
      </c>
      <c r="AN24" s="330">
        <f>'P&amp;L'!AP7</f>
        <v>180633</v>
      </c>
      <c r="AO24" s="330">
        <f>'P&amp;L'!AQ7</f>
        <v>184436</v>
      </c>
      <c r="AQ24" s="173"/>
    </row>
    <row r="25" spans="2:43">
      <c r="C25" s="39" t="s">
        <v>460</v>
      </c>
      <c r="D25" s="216" t="s">
        <v>694</v>
      </c>
      <c r="E25" s="216" t="s">
        <v>694</v>
      </c>
      <c r="F25" s="330">
        <v>188395.00691015701</v>
      </c>
      <c r="G25" s="330">
        <v>268949.48361118097</v>
      </c>
      <c r="H25" s="330">
        <v>287475.95765430405</v>
      </c>
      <c r="I25" s="216" t="s">
        <v>694</v>
      </c>
      <c r="J25" s="330">
        <v>491021</v>
      </c>
      <c r="K25" s="330">
        <v>474825</v>
      </c>
      <c r="L25" s="330">
        <v>341302</v>
      </c>
      <c r="M25" s="330">
        <v>269790</v>
      </c>
      <c r="N25" s="330">
        <v>254840</v>
      </c>
      <c r="O25" s="330">
        <v>255217</v>
      </c>
      <c r="P25" s="419">
        <f>P24-P26</f>
        <v>268076.98378886294</v>
      </c>
      <c r="Q25" s="331"/>
      <c r="R25" s="216" t="s">
        <v>694</v>
      </c>
      <c r="S25" s="216" t="s">
        <v>694</v>
      </c>
      <c r="T25" s="216" t="s">
        <v>694</v>
      </c>
      <c r="U25" s="216" t="s">
        <v>694</v>
      </c>
      <c r="V25" s="330">
        <v>140382.87844776653</v>
      </c>
      <c r="W25" s="330">
        <v>147093.07920653751</v>
      </c>
      <c r="X25" s="330"/>
      <c r="Y25" s="216" t="s">
        <v>694</v>
      </c>
      <c r="Z25" s="216" t="s">
        <v>694</v>
      </c>
      <c r="AA25" s="216" t="s">
        <v>694</v>
      </c>
      <c r="AB25" s="216" t="s">
        <v>694</v>
      </c>
      <c r="AC25" s="330">
        <v>239369.35939970543</v>
      </c>
      <c r="AD25" s="330">
        <v>235455.59235251576</v>
      </c>
      <c r="AE25" s="330">
        <v>182070.5122120356</v>
      </c>
      <c r="AF25" s="330">
        <v>159231.41357627307</v>
      </c>
      <c r="AG25" s="330">
        <v>135991.50148699465</v>
      </c>
      <c r="AH25" s="330">
        <v>133798.75174224417</v>
      </c>
      <c r="AI25" s="330">
        <v>126304.17612640531</v>
      </c>
      <c r="AJ25" s="330">
        <v>128535.64389698443</v>
      </c>
      <c r="AK25" s="330">
        <v>129930.42521748933</v>
      </c>
      <c r="AL25" s="330">
        <v>125286.56279034544</v>
      </c>
      <c r="AM25" s="330">
        <v>130704.29841920653</v>
      </c>
      <c r="AN25" s="330">
        <f>P25-AM25</f>
        <v>137372.68536965642</v>
      </c>
      <c r="AO25" s="330">
        <v>144745.00349999999</v>
      </c>
      <c r="AQ25" s="173"/>
    </row>
    <row r="26" spans="2:43">
      <c r="C26" s="39" t="s">
        <v>461</v>
      </c>
      <c r="D26" s="216" t="s">
        <v>694</v>
      </c>
      <c r="E26" s="216" t="s">
        <v>694</v>
      </c>
      <c r="F26" s="330">
        <v>194042</v>
      </c>
      <c r="G26" s="330">
        <v>232391.52969919157</v>
      </c>
      <c r="H26" s="330">
        <v>214352.61690749007</v>
      </c>
      <c r="I26" s="216" t="s">
        <v>694</v>
      </c>
      <c r="J26" s="330">
        <v>98097</v>
      </c>
      <c r="K26" s="330">
        <v>87557</v>
      </c>
      <c r="L26" s="330">
        <v>64390</v>
      </c>
      <c r="M26" s="330">
        <v>61678</v>
      </c>
      <c r="N26" s="330">
        <v>75665</v>
      </c>
      <c r="O26" s="330">
        <v>88358</v>
      </c>
      <c r="P26" s="418">
        <v>93796.016211137045</v>
      </c>
      <c r="Q26" s="331"/>
      <c r="R26" s="216" t="s">
        <v>694</v>
      </c>
      <c r="S26" s="216" t="s">
        <v>694</v>
      </c>
      <c r="T26" s="216" t="s">
        <v>694</v>
      </c>
      <c r="U26" s="216" t="s">
        <v>694</v>
      </c>
      <c r="V26" s="330">
        <v>115304.88135622363</v>
      </c>
      <c r="W26" s="330">
        <v>99047.735551266436</v>
      </c>
      <c r="X26" s="330"/>
      <c r="Y26" s="216" t="s">
        <v>694</v>
      </c>
      <c r="Z26" s="216" t="s">
        <v>694</v>
      </c>
      <c r="AA26" s="216" t="s">
        <v>694</v>
      </c>
      <c r="AB26" s="216" t="s">
        <v>694</v>
      </c>
      <c r="AC26" s="330">
        <v>47148.640600294573</v>
      </c>
      <c r="AD26" s="330">
        <v>40408.407647484244</v>
      </c>
      <c r="AE26" s="330">
        <v>32258.487787964412</v>
      </c>
      <c r="AF26" s="330">
        <v>32132.025425196643</v>
      </c>
      <c r="AG26" s="330">
        <v>27715.181210823546</v>
      </c>
      <c r="AH26" s="330">
        <v>33962.421310135454</v>
      </c>
      <c r="AI26" s="330">
        <v>36162.439900976293</v>
      </c>
      <c r="AJ26" s="330">
        <v>39503.08196892601</v>
      </c>
      <c r="AK26" s="330">
        <v>45408.907922289814</v>
      </c>
      <c r="AL26" s="330">
        <v>42949.1040698754</v>
      </c>
      <c r="AM26" s="330">
        <f>AM24-AM25</f>
        <v>50535.701580793466</v>
      </c>
      <c r="AN26" s="330">
        <f>P26-AM26</f>
        <v>43260.314630343579</v>
      </c>
      <c r="AO26" s="330">
        <f>AO24-AO25</f>
        <v>39690.996500000008</v>
      </c>
      <c r="AQ26" s="173"/>
    </row>
    <row r="27" spans="2:43" s="72" customFormat="1">
      <c r="C27" s="209" t="s">
        <v>458</v>
      </c>
      <c r="D27" s="216" t="s">
        <v>694</v>
      </c>
      <c r="E27" s="216" t="s">
        <v>694</v>
      </c>
      <c r="F27" s="375">
        <f>F25/'Operational Data'!H20</f>
        <v>201.1856244044171</v>
      </c>
      <c r="G27" s="375">
        <f>G25/'Operational Data'!I20</f>
        <v>200.04230954007733</v>
      </c>
      <c r="H27" s="375">
        <f>H25/'Operational Data'!J20</f>
        <v>198.28731486472503</v>
      </c>
      <c r="I27" s="216" t="s">
        <v>694</v>
      </c>
      <c r="J27" s="375">
        <f>J25/'Operational Data'!K20</f>
        <v>192.50129741697631</v>
      </c>
      <c r="K27" s="375">
        <f>K25/'Operational Data'!L20</f>
        <v>218.13874235027069</v>
      </c>
      <c r="L27" s="375">
        <f>L25/'Operational Data'!M20</f>
        <v>245.02926621595327</v>
      </c>
      <c r="M27" s="375">
        <f>M25/'Operational Data'!N20</f>
        <v>239.06765475507947</v>
      </c>
      <c r="N27" s="375">
        <f>N25/'Operational Data'!O20</f>
        <v>211.54007382818304</v>
      </c>
      <c r="O27" s="375">
        <f>O25/'Operational Data'!P20</f>
        <v>188.83128471448939</v>
      </c>
      <c r="P27" s="375">
        <f>P25/'Operational Data'!Q20</f>
        <v>186.2954964105767</v>
      </c>
      <c r="Q27" s="344"/>
      <c r="R27" s="216" t="s">
        <v>694</v>
      </c>
      <c r="S27" s="216" t="s">
        <v>694</v>
      </c>
      <c r="T27" s="216" t="s">
        <v>694</v>
      </c>
      <c r="U27" s="216" t="s">
        <v>694</v>
      </c>
      <c r="V27" s="375">
        <f>V25/'Operational Data'!AA20</f>
        <v>197.97834164139911</v>
      </c>
      <c r="W27" s="375">
        <f>W25/'Operational Data'!AB20</f>
        <v>198.58309386569093</v>
      </c>
      <c r="X27" s="375">
        <f>X25/'Operational Data'!AC20</f>
        <v>0</v>
      </c>
      <c r="Y27" s="390" t="s">
        <v>694</v>
      </c>
      <c r="Z27" s="390" t="s">
        <v>694</v>
      </c>
      <c r="AA27" s="390" t="s">
        <v>694</v>
      </c>
      <c r="AB27" s="390" t="s">
        <v>694</v>
      </c>
      <c r="AC27" s="375">
        <f>AC25/'Operational Data'!AE20</f>
        <v>213.82974811464084</v>
      </c>
      <c r="AD27" s="375">
        <f>AD25/'Operational Data'!AF20</f>
        <v>222.70105739347659</v>
      </c>
      <c r="AE27" s="375">
        <f>AE25/'Operational Data'!AG20</f>
        <v>241.69432757611497</v>
      </c>
      <c r="AF27" s="375">
        <f>AF25/'Operational Data'!AH20</f>
        <v>248.95701581983735</v>
      </c>
      <c r="AG27" s="375">
        <f>AG25/'Operational Data'!AI20</f>
        <v>236.68354561402271</v>
      </c>
      <c r="AH27" s="375">
        <f>AH25/'Operational Data'!AJ20</f>
        <v>241.54102398146401</v>
      </c>
      <c r="AI27" s="375">
        <f>AI25/'Operational Data'!AK20</f>
        <v>215.12204515268445</v>
      </c>
      <c r="AJ27" s="375">
        <f>AJ25/'Operational Data'!AL20</f>
        <v>208.13432826390337</v>
      </c>
      <c r="AK27" s="375">
        <f>AK25/'Operational Data'!AM20</f>
        <v>190.84514056292645</v>
      </c>
      <c r="AL27" s="375">
        <f>AL25/'Operational Data'!AN20</f>
        <v>186.78717365070997</v>
      </c>
      <c r="AM27" s="375">
        <f>AM25/'Operational Data'!AO20</f>
        <v>182.94138009014713</v>
      </c>
      <c r="AN27" s="375">
        <f>AN25/'Operational Data'!AP20</f>
        <v>189.60300412082955</v>
      </c>
      <c r="AO27" s="375">
        <f>AO25/'Operational Data'!AQ20</f>
        <v>186.94069674782992</v>
      </c>
      <c r="AQ27" s="173"/>
    </row>
    <row r="28" spans="2:43">
      <c r="C28" s="73"/>
      <c r="D28" s="342"/>
      <c r="E28" s="342"/>
      <c r="F28" s="342"/>
      <c r="G28" s="342"/>
      <c r="H28" s="342"/>
      <c r="I28" s="342"/>
      <c r="J28" s="342"/>
      <c r="K28" s="342"/>
      <c r="L28" s="342"/>
      <c r="M28" s="342"/>
      <c r="N28" s="342"/>
      <c r="O28" s="342"/>
      <c r="P28" s="342"/>
      <c r="Q28" s="331"/>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Q28" s="173"/>
    </row>
    <row r="29" spans="2:43">
      <c r="C29" s="74" t="s">
        <v>468</v>
      </c>
      <c r="D29" s="377"/>
      <c r="E29" s="377"/>
      <c r="F29" s="377"/>
      <c r="G29" s="377"/>
      <c r="H29" s="377"/>
      <c r="I29" s="377"/>
      <c r="J29" s="377"/>
      <c r="K29" s="377"/>
      <c r="L29" s="377"/>
      <c r="M29" s="377"/>
      <c r="N29" s="377"/>
      <c r="O29" s="377"/>
      <c r="P29" s="377"/>
      <c r="Q29" s="331"/>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Q29" s="173"/>
    </row>
    <row r="30" spans="2:43">
      <c r="B30" s="465" t="s">
        <v>466</v>
      </c>
      <c r="C30" s="39" t="s">
        <v>448</v>
      </c>
      <c r="D30" s="330">
        <f>'P&amp;L'!E22</f>
        <v>154511</v>
      </c>
      <c r="E30" s="330">
        <f>'P&amp;L'!F22</f>
        <v>68466</v>
      </c>
      <c r="F30" s="330">
        <f>'P&amp;L'!G22</f>
        <v>118996</v>
      </c>
      <c r="G30" s="330">
        <f>'P&amp;L'!H22</f>
        <v>146933</v>
      </c>
      <c r="H30" s="330">
        <f>'P&amp;L'!I22</f>
        <v>123474</v>
      </c>
      <c r="I30" s="330">
        <f>'P&amp;L'!K22</f>
        <v>114067</v>
      </c>
      <c r="J30" s="330">
        <f>'P&amp;L'!L22</f>
        <v>94654.342351379353</v>
      </c>
      <c r="K30" s="330">
        <f>'P&amp;L'!M22</f>
        <v>-197322</v>
      </c>
      <c r="L30" s="330">
        <f>'P&amp;L'!N22</f>
        <v>-33679</v>
      </c>
      <c r="M30" s="330">
        <f>'P&amp;L'!O22</f>
        <v>61263</v>
      </c>
      <c r="N30" s="330">
        <f>'P&amp;L'!P22</f>
        <v>-52947</v>
      </c>
      <c r="O30" s="330">
        <f>'P&amp;L'!Q22</f>
        <v>-58329</v>
      </c>
      <c r="P30" s="330">
        <f>'P&amp;L'!R22</f>
        <v>67672</v>
      </c>
      <c r="Q30" s="331"/>
      <c r="R30" s="330">
        <f>'P&amp;L'!T22</f>
        <v>41386</v>
      </c>
      <c r="S30" s="330">
        <f>'P&amp;L'!U22</f>
        <v>77610</v>
      </c>
      <c r="T30" s="330">
        <f>'P&amp;L'!V22</f>
        <v>82367</v>
      </c>
      <c r="U30" s="330">
        <f>'P&amp;L'!W22</f>
        <v>64566</v>
      </c>
      <c r="V30" s="330">
        <f>'P&amp;L'!X22</f>
        <v>72488</v>
      </c>
      <c r="W30" s="330">
        <f>'P&amp;L'!Y22</f>
        <v>50984.892075865755</v>
      </c>
      <c r="X30" s="330"/>
      <c r="Y30" s="330">
        <f>'P&amp;L'!AA22</f>
        <v>53715</v>
      </c>
      <c r="Z30" s="330">
        <f>'P&amp;L'!AB22</f>
        <v>60352</v>
      </c>
      <c r="AA30" s="330">
        <f>'P&amp;L'!AC22</f>
        <v>39421.367069858999</v>
      </c>
      <c r="AB30" s="330">
        <f>'P&amp;L'!AD22</f>
        <v>55232.975281520397</v>
      </c>
      <c r="AC30" s="330">
        <f>'P&amp;L'!AE22</f>
        <v>66226</v>
      </c>
      <c r="AD30" s="330">
        <f>'P&amp;L'!AF22</f>
        <v>-263548</v>
      </c>
      <c r="AE30" s="330">
        <f>'P&amp;L'!AG22</f>
        <v>25434</v>
      </c>
      <c r="AF30" s="330">
        <f>'P&amp;L'!AH22</f>
        <v>-59113</v>
      </c>
      <c r="AG30" s="330">
        <f>'P&amp;L'!AI22</f>
        <v>113420</v>
      </c>
      <c r="AH30" s="330">
        <f>'P&amp;L'!AJ22</f>
        <v>-52157</v>
      </c>
      <c r="AI30" s="330">
        <f>'P&amp;L'!AK22</f>
        <v>-11879</v>
      </c>
      <c r="AJ30" s="330">
        <f>'P&amp;L'!AL22</f>
        <v>-41068</v>
      </c>
      <c r="AK30" s="330">
        <f>'P&amp;L'!AM22</f>
        <v>-3274</v>
      </c>
      <c r="AL30" s="330">
        <f>'P&amp;L'!AN22</f>
        <v>-55055</v>
      </c>
      <c r="AM30" s="330">
        <f>'P&amp;L'!AO22</f>
        <v>36215</v>
      </c>
      <c r="AN30" s="330">
        <f>'P&amp;L'!AP22</f>
        <v>31457</v>
      </c>
      <c r="AO30" s="330">
        <f>'P&amp;L'!AQ22</f>
        <v>23843</v>
      </c>
      <c r="AQ30" s="173"/>
    </row>
    <row r="31" spans="2:43">
      <c r="B31" s="465"/>
      <c r="C31" s="39" t="s">
        <v>449</v>
      </c>
      <c r="D31" s="330"/>
      <c r="E31" s="330"/>
      <c r="F31" s="330"/>
      <c r="G31" s="330"/>
      <c r="H31" s="330"/>
      <c r="I31" s="330"/>
      <c r="J31" s="330"/>
      <c r="K31" s="330"/>
      <c r="L31" s="330"/>
      <c r="M31" s="330"/>
      <c r="N31" s="330"/>
      <c r="O31" s="330"/>
      <c r="P31" s="330"/>
      <c r="Q31" s="331"/>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Q31" s="173"/>
    </row>
    <row r="32" spans="2:43">
      <c r="B32" s="465"/>
      <c r="C32" s="39" t="s">
        <v>450</v>
      </c>
      <c r="D32" s="330">
        <f>-'P&amp;L'!E21</f>
        <v>42717</v>
      </c>
      <c r="E32" s="330">
        <f>-'P&amp;L'!F21</f>
        <v>8671</v>
      </c>
      <c r="F32" s="330">
        <f>-'P&amp;L'!G21</f>
        <v>23160</v>
      </c>
      <c r="G32" s="330">
        <f>-'P&amp;L'!H21</f>
        <v>48973</v>
      </c>
      <c r="H32" s="330">
        <f>-'P&amp;L'!I21</f>
        <v>30124.493871678016</v>
      </c>
      <c r="I32" s="330">
        <f>-'P&amp;L'!K21</f>
        <v>35413</v>
      </c>
      <c r="J32" s="330">
        <f>-'P&amp;L'!L21</f>
        <v>49416.237885840252</v>
      </c>
      <c r="K32" s="330">
        <f>-'P&amp;L'!M21</f>
        <v>-31803</v>
      </c>
      <c r="L32" s="330">
        <f>-'P&amp;L'!N21</f>
        <v>3365</v>
      </c>
      <c r="M32" s="330">
        <f>-'P&amp;L'!O21</f>
        <v>48593</v>
      </c>
      <c r="N32" s="330">
        <f>-'P&amp;L'!P21</f>
        <v>28816</v>
      </c>
      <c r="O32" s="330">
        <f>-'P&amp;L'!Q21</f>
        <v>4692</v>
      </c>
      <c r="P32" s="330">
        <f>-'P&amp;L'!R21</f>
        <v>28963</v>
      </c>
      <c r="Q32" s="331"/>
      <c r="R32" s="330">
        <f>-'P&amp;L'!T21</f>
        <v>7182</v>
      </c>
      <c r="S32" s="330">
        <f>-'P&amp;L'!U21</f>
        <v>15978</v>
      </c>
      <c r="T32" s="330">
        <f>-'P&amp;L'!V21</f>
        <v>36443</v>
      </c>
      <c r="U32" s="330">
        <f>-'P&amp;L'!W21</f>
        <v>12530</v>
      </c>
      <c r="V32" s="330">
        <f>-'P&amp;L'!X21</f>
        <v>28693</v>
      </c>
      <c r="W32" s="330">
        <f>-'P&amp;L'!Y21</f>
        <v>1431.4938716780161</v>
      </c>
      <c r="X32" s="330"/>
      <c r="Y32" s="330">
        <f>-'P&amp;L'!AA21</f>
        <v>19433</v>
      </c>
      <c r="Z32" s="330">
        <f>-'P&amp;L'!AB21</f>
        <v>15980</v>
      </c>
      <c r="AA32" s="330">
        <f>-'P&amp;L'!AC21</f>
        <v>21196.43668961302</v>
      </c>
      <c r="AB32" s="330">
        <f>-'P&amp;L'!AD21</f>
        <v>28219.801196227232</v>
      </c>
      <c r="AC32" s="330">
        <f>-'P&amp;L'!AE21</f>
        <v>29815</v>
      </c>
      <c r="AD32" s="330">
        <f>-'P&amp;L'!AF21</f>
        <v>-61618</v>
      </c>
      <c r="AE32" s="330">
        <f>-'P&amp;L'!AG21</f>
        <v>19768</v>
      </c>
      <c r="AF32" s="330">
        <f>-'P&amp;L'!AH21</f>
        <v>-16403</v>
      </c>
      <c r="AG32" s="330">
        <f>-'P&amp;L'!AI21</f>
        <v>39440</v>
      </c>
      <c r="AH32" s="330">
        <f>-'P&amp;L'!AJ21</f>
        <v>9153</v>
      </c>
      <c r="AI32" s="330">
        <f>-'P&amp;L'!AK21</f>
        <v>14914</v>
      </c>
      <c r="AJ32" s="330">
        <f>-'P&amp;L'!AL21</f>
        <v>13902</v>
      </c>
      <c r="AK32" s="330">
        <f>-'P&amp;L'!AM21</f>
        <v>3092</v>
      </c>
      <c r="AL32" s="330">
        <f>-'P&amp;L'!AN21</f>
        <v>1600</v>
      </c>
      <c r="AM32" s="330">
        <f>-'P&amp;L'!AO21</f>
        <v>19544</v>
      </c>
      <c r="AN32" s="330">
        <f>-'P&amp;L'!AP21</f>
        <v>9419</v>
      </c>
      <c r="AO32" s="330">
        <f>-'P&amp;L'!AQ21</f>
        <v>5233</v>
      </c>
      <c r="AQ32" s="173"/>
    </row>
    <row r="33" spans="2:43">
      <c r="B33" s="465"/>
      <c r="C33" s="39" t="s">
        <v>451</v>
      </c>
      <c r="D33" s="330">
        <f>-'P&amp;L'!E19</f>
        <v>34422</v>
      </c>
      <c r="E33" s="330">
        <f>-'P&amp;L'!F19</f>
        <v>12002</v>
      </c>
      <c r="F33" s="330">
        <f>-'P&amp;L'!G19</f>
        <v>14795</v>
      </c>
      <c r="G33" s="330">
        <f>-'P&amp;L'!H19</f>
        <v>30079</v>
      </c>
      <c r="H33" s="330">
        <f>-'P&amp;L'!I19</f>
        <v>3660</v>
      </c>
      <c r="I33" s="330">
        <f>-'P&amp;L'!K19</f>
        <v>19871</v>
      </c>
      <c r="J33" s="330">
        <f>-'P&amp;L'!L19</f>
        <v>121928.68551079676</v>
      </c>
      <c r="K33" s="330">
        <f>-'P&amp;L'!M19</f>
        <v>507748</v>
      </c>
      <c r="L33" s="330">
        <f>-'P&amp;L'!N19</f>
        <v>215069</v>
      </c>
      <c r="M33" s="330">
        <f>-'P&amp;L'!O19</f>
        <v>-110307</v>
      </c>
      <c r="N33" s="330">
        <f>-'P&amp;L'!P19</f>
        <v>18798</v>
      </c>
      <c r="O33" s="330">
        <f>-'P&amp;L'!Q19</f>
        <v>185281</v>
      </c>
      <c r="P33" s="330">
        <f>-'P&amp;L'!R19</f>
        <v>48204</v>
      </c>
      <c r="Q33" s="331"/>
      <c r="R33" s="330">
        <f>-'P&amp;L'!T19</f>
        <v>5954</v>
      </c>
      <c r="S33" s="330">
        <f>-'P&amp;L'!U19</f>
        <v>8841</v>
      </c>
      <c r="T33" s="330">
        <f>-'P&amp;L'!V19</f>
        <v>-2769</v>
      </c>
      <c r="U33" s="330">
        <f>-'P&amp;L'!W19</f>
        <v>32848</v>
      </c>
      <c r="V33" s="330">
        <f>-'P&amp;L'!X19</f>
        <v>10061</v>
      </c>
      <c r="W33" s="330">
        <f>-'P&amp;L'!Y19</f>
        <v>-6401</v>
      </c>
      <c r="X33" s="330"/>
      <c r="Y33" s="330">
        <f>-'P&amp;L'!AA19</f>
        <v>16552</v>
      </c>
      <c r="Z33" s="330">
        <f>-'P&amp;L'!AB19</f>
        <v>3319</v>
      </c>
      <c r="AA33" s="330">
        <f>-'P&amp;L'!AC19</f>
        <v>83270.43117792574</v>
      </c>
      <c r="AB33" s="330">
        <f>-'P&amp;L'!AD19</f>
        <v>38658.254332871016</v>
      </c>
      <c r="AC33" s="330">
        <f>-'P&amp;L'!AE19</f>
        <v>29977</v>
      </c>
      <c r="AD33" s="330">
        <f>-'P&amp;L'!AF19</f>
        <v>477771</v>
      </c>
      <c r="AE33" s="330">
        <f>-'P&amp;L'!AG19</f>
        <v>28998</v>
      </c>
      <c r="AF33" s="330">
        <f>-'P&amp;L'!AH19</f>
        <v>186071</v>
      </c>
      <c r="AG33" s="330">
        <f>-'P&amp;L'!AI19</f>
        <v>-92649</v>
      </c>
      <c r="AH33" s="330">
        <f>-'P&amp;L'!AJ19</f>
        <v>-17658</v>
      </c>
      <c r="AI33" s="330">
        <f>-'P&amp;L'!AK19</f>
        <v>11047</v>
      </c>
      <c r="AJ33" s="330">
        <f>-'P&amp;L'!AL19</f>
        <v>7751</v>
      </c>
      <c r="AK33" s="330">
        <f>-'P&amp;L'!AM19</f>
        <v>90347</v>
      </c>
      <c r="AL33" s="330">
        <f>-'P&amp;L'!AN19</f>
        <v>94934</v>
      </c>
      <c r="AM33" s="330">
        <f>-'P&amp;L'!AO19</f>
        <v>3890</v>
      </c>
      <c r="AN33" s="330">
        <f>-'P&amp;L'!AP19</f>
        <v>44314</v>
      </c>
      <c r="AO33" s="330">
        <f>-'P&amp;L'!AQ19</f>
        <v>49670</v>
      </c>
      <c r="AQ33" s="173"/>
    </row>
    <row r="34" spans="2:43">
      <c r="B34" s="465"/>
      <c r="C34" s="39" t="s">
        <v>452</v>
      </c>
      <c r="D34" s="330">
        <f>'P&amp;L'!E34</f>
        <v>13332</v>
      </c>
      <c r="E34" s="330">
        <f>'P&amp;L'!F34</f>
        <v>7643</v>
      </c>
      <c r="F34" s="330">
        <f>'P&amp;L'!G34</f>
        <v>7626</v>
      </c>
      <c r="G34" s="330">
        <f>'P&amp;L'!H34</f>
        <v>8172</v>
      </c>
      <c r="H34" s="330">
        <f>'P&amp;L'!I34</f>
        <v>7343</v>
      </c>
      <c r="I34" s="330">
        <f>'P&amp;L'!K34</f>
        <v>5720</v>
      </c>
      <c r="J34" s="330">
        <f>'P&amp;L'!L34</f>
        <v>29365.931927675258</v>
      </c>
      <c r="K34" s="330">
        <f>'P&amp;L'!M34</f>
        <v>24268</v>
      </c>
      <c r="L34" s="330">
        <f>'P&amp;L'!N34</f>
        <v>14498</v>
      </c>
      <c r="M34" s="330">
        <f>'P&amp;L'!O34</f>
        <v>13225</v>
      </c>
      <c r="N34" s="330">
        <f>'P&amp;L'!P34</f>
        <v>12966</v>
      </c>
      <c r="O34" s="330">
        <f>'P&amp;L'!Q34</f>
        <v>12909</v>
      </c>
      <c r="P34" s="330">
        <f>'P&amp;L'!R34</f>
        <v>1256</v>
      </c>
      <c r="Q34" s="331"/>
      <c r="R34" s="330">
        <f>'P&amp;L'!T34</f>
        <v>3868</v>
      </c>
      <c r="S34" s="330">
        <f>'P&amp;L'!U34</f>
        <v>3758</v>
      </c>
      <c r="T34" s="330">
        <f>'P&amp;L'!V34</f>
        <v>4059</v>
      </c>
      <c r="U34" s="330">
        <f>'P&amp;L'!W34</f>
        <v>4113</v>
      </c>
      <c r="V34" s="330">
        <f>'P&amp;L'!X34</f>
        <v>3738</v>
      </c>
      <c r="W34" s="330">
        <f>'P&amp;L'!Y34</f>
        <v>3605</v>
      </c>
      <c r="X34" s="330"/>
      <c r="Y34" s="330">
        <f>'P&amp;L'!AA34</f>
        <v>2907</v>
      </c>
      <c r="Z34" s="330">
        <f>'P&amp;L'!AB34</f>
        <v>2813</v>
      </c>
      <c r="AA34" s="330">
        <f>'P&amp;L'!AC34</f>
        <v>14730.389151679434</v>
      </c>
      <c r="AB34" s="330">
        <f>'P&amp;L'!AD34</f>
        <v>14635.542775995824</v>
      </c>
      <c r="AC34" s="330">
        <f>'P&amp;L'!AE34</f>
        <v>13606</v>
      </c>
      <c r="AD34" s="330">
        <f>'P&amp;L'!AF34</f>
        <v>10662</v>
      </c>
      <c r="AE34" s="330">
        <f>'P&amp;L'!AG34</f>
        <v>7663</v>
      </c>
      <c r="AF34" s="330">
        <f>'P&amp;L'!AH34</f>
        <v>6835</v>
      </c>
      <c r="AG34" s="330">
        <f>'P&amp;L'!AI34</f>
        <v>6237</v>
      </c>
      <c r="AH34" s="330">
        <f>'P&amp;L'!AJ34</f>
        <v>6987.9301421725449</v>
      </c>
      <c r="AI34" s="330">
        <f>'P&amp;L'!AK34</f>
        <v>6535</v>
      </c>
      <c r="AJ34" s="330">
        <f>'P&amp;L'!AL34</f>
        <v>6431</v>
      </c>
      <c r="AK34" s="330">
        <f>'P&amp;L'!AM34</f>
        <v>6718.7323448569341</v>
      </c>
      <c r="AL34" s="330">
        <f>'P&amp;L'!AN34</f>
        <v>6190.2676551430659</v>
      </c>
      <c r="AM34" s="330">
        <f>'P&amp;L'!AO34</f>
        <v>592</v>
      </c>
      <c r="AN34" s="330">
        <f>'P&amp;L'!AP34</f>
        <v>664</v>
      </c>
      <c r="AO34" s="330">
        <f>'P&amp;L'!AQ34</f>
        <v>388</v>
      </c>
      <c r="AQ34" s="173"/>
    </row>
    <row r="35" spans="2:43">
      <c r="B35" s="465"/>
      <c r="C35" s="39" t="s">
        <v>52</v>
      </c>
      <c r="D35" s="330">
        <f>'P&amp;L'!E32</f>
        <v>43221</v>
      </c>
      <c r="E35" s="330">
        <f>'P&amp;L'!F32</f>
        <v>36906</v>
      </c>
      <c r="F35" s="330">
        <f>'P&amp;L'!G32</f>
        <v>45634</v>
      </c>
      <c r="G35" s="330">
        <f>'P&amp;L'!H32</f>
        <v>50091</v>
      </c>
      <c r="H35" s="330">
        <f>'P&amp;L'!I32</f>
        <v>63893</v>
      </c>
      <c r="I35" s="330">
        <f>'P&amp;L'!K32</f>
        <v>42440</v>
      </c>
      <c r="J35" s="330">
        <f>'P&amp;L'!L32</f>
        <v>85872.956972170141</v>
      </c>
      <c r="K35" s="330">
        <f>'P&amp;L'!M32</f>
        <v>75902</v>
      </c>
      <c r="L35" s="330">
        <f>'P&amp;L'!N32</f>
        <v>42794</v>
      </c>
      <c r="M35" s="330">
        <f>'P&amp;L'!O32</f>
        <v>34843</v>
      </c>
      <c r="N35" s="330">
        <f>'P&amp;L'!P32</f>
        <v>38007</v>
      </c>
      <c r="O35" s="330">
        <f>'P&amp;L'!Q32</f>
        <v>35764</v>
      </c>
      <c r="P35" s="330">
        <f>'P&amp;L'!R32</f>
        <v>36952</v>
      </c>
      <c r="Q35" s="331"/>
      <c r="R35" s="330">
        <f>'P&amp;L'!T32</f>
        <v>23390</v>
      </c>
      <c r="S35" s="330">
        <f>'P&amp;L'!U32</f>
        <v>22244</v>
      </c>
      <c r="T35" s="330">
        <f>'P&amp;L'!V32</f>
        <v>26151</v>
      </c>
      <c r="U35" s="330">
        <f>'P&amp;L'!W32</f>
        <v>23940</v>
      </c>
      <c r="V35" s="330">
        <f>'P&amp;L'!X32</f>
        <v>28302</v>
      </c>
      <c r="W35" s="330">
        <f>'P&amp;L'!Y32</f>
        <v>35591</v>
      </c>
      <c r="X35" s="330"/>
      <c r="Y35" s="330">
        <f>'P&amp;L'!AA32</f>
        <v>20931</v>
      </c>
      <c r="Z35" s="330">
        <f>'P&amp;L'!AB32</f>
        <v>21509</v>
      </c>
      <c r="AA35" s="330">
        <f>'P&amp;L'!AC32</f>
        <v>43033.882924023012</v>
      </c>
      <c r="AB35" s="330">
        <f>'P&amp;L'!AD32</f>
        <v>42839.074048147129</v>
      </c>
      <c r="AC35" s="330">
        <f>'P&amp;L'!AE32</f>
        <v>39766</v>
      </c>
      <c r="AD35" s="330">
        <f>'P&amp;L'!AF32</f>
        <v>36136</v>
      </c>
      <c r="AE35" s="330">
        <f>'P&amp;L'!AG32</f>
        <v>22421</v>
      </c>
      <c r="AF35" s="330">
        <f>'P&amp;L'!AH32</f>
        <v>20373</v>
      </c>
      <c r="AG35" s="330">
        <f>'P&amp;L'!AI32</f>
        <v>16076</v>
      </c>
      <c r="AH35" s="330">
        <f>'P&amp;L'!AJ32</f>
        <v>18767</v>
      </c>
      <c r="AI35" s="330">
        <f>'P&amp;L'!AK32</f>
        <v>19402</v>
      </c>
      <c r="AJ35" s="330">
        <f>'P&amp;L'!AL32</f>
        <v>18605</v>
      </c>
      <c r="AK35" s="330">
        <f>'P&amp;L'!AM32</f>
        <v>18411</v>
      </c>
      <c r="AL35" s="330">
        <f>'P&amp;L'!AN32</f>
        <v>17353</v>
      </c>
      <c r="AM35" s="330">
        <f>'P&amp;L'!AO32</f>
        <v>18108</v>
      </c>
      <c r="AN35" s="330">
        <f>'P&amp;L'!AP32</f>
        <v>18844</v>
      </c>
      <c r="AO35" s="330">
        <f>'P&amp;L'!AQ32</f>
        <v>18184</v>
      </c>
      <c r="AQ35" s="173"/>
    </row>
    <row r="36" spans="2:43">
      <c r="B36" s="465"/>
      <c r="C36" s="39" t="s">
        <v>719</v>
      </c>
      <c r="D36" s="402" t="s">
        <v>694</v>
      </c>
      <c r="E36" s="402" t="s">
        <v>694</v>
      </c>
      <c r="F36" s="402" t="s">
        <v>694</v>
      </c>
      <c r="G36" s="402" t="s">
        <v>694</v>
      </c>
      <c r="H36" s="402" t="s">
        <v>694</v>
      </c>
      <c r="I36" s="402" t="s">
        <v>694</v>
      </c>
      <c r="J36" s="402" t="s">
        <v>694</v>
      </c>
      <c r="K36" s="216" t="s">
        <v>694</v>
      </c>
      <c r="L36" s="216" t="s">
        <v>694</v>
      </c>
      <c r="M36" s="216" t="s">
        <v>694</v>
      </c>
      <c r="N36" s="216" t="s">
        <v>694</v>
      </c>
      <c r="O36" s="216" t="s">
        <v>694</v>
      </c>
      <c r="P36" s="330">
        <f>'P&amp;L'!R33</f>
        <v>12391</v>
      </c>
      <c r="Q36" s="414" t="s">
        <v>694</v>
      </c>
      <c r="R36" s="216" t="s">
        <v>694</v>
      </c>
      <c r="S36" s="216" t="s">
        <v>694</v>
      </c>
      <c r="T36" s="216" t="s">
        <v>694</v>
      </c>
      <c r="U36" s="216" t="s">
        <v>694</v>
      </c>
      <c r="V36" s="216" t="s">
        <v>694</v>
      </c>
      <c r="W36" s="216" t="s">
        <v>694</v>
      </c>
      <c r="X36" s="216"/>
      <c r="Y36" s="216" t="s">
        <v>694</v>
      </c>
      <c r="Z36" s="216" t="s">
        <v>694</v>
      </c>
      <c r="AA36" s="216" t="s">
        <v>694</v>
      </c>
      <c r="AB36" s="216" t="s">
        <v>694</v>
      </c>
      <c r="AC36" s="216" t="s">
        <v>694</v>
      </c>
      <c r="AD36" s="216" t="s">
        <v>694</v>
      </c>
      <c r="AE36" s="216" t="s">
        <v>694</v>
      </c>
      <c r="AF36" s="216" t="s">
        <v>694</v>
      </c>
      <c r="AG36" s="216" t="s">
        <v>694</v>
      </c>
      <c r="AH36" s="216" t="s">
        <v>694</v>
      </c>
      <c r="AI36" s="216" t="s">
        <v>694</v>
      </c>
      <c r="AJ36" s="216" t="s">
        <v>694</v>
      </c>
      <c r="AK36" s="216" t="s">
        <v>694</v>
      </c>
      <c r="AL36" s="216" t="s">
        <v>694</v>
      </c>
      <c r="AM36" s="330">
        <f>'P&amp;L'!AO33</f>
        <v>5961</v>
      </c>
      <c r="AN36" s="330">
        <f>'P&amp;L'!AP33</f>
        <v>6430</v>
      </c>
      <c r="AO36" s="330">
        <f>'P&amp;L'!AQ33</f>
        <v>6126</v>
      </c>
      <c r="AQ36" s="173"/>
    </row>
    <row r="37" spans="2:43">
      <c r="B37" s="465"/>
      <c r="C37" s="39" t="s">
        <v>453</v>
      </c>
      <c r="D37" s="330">
        <f>'P&amp;L'!E36+'P&amp;L'!E37+'P&amp;L'!E35</f>
        <v>32060</v>
      </c>
      <c r="E37" s="330">
        <f>'P&amp;L'!F36+'P&amp;L'!F37+'P&amp;L'!F35</f>
        <v>0</v>
      </c>
      <c r="F37" s="330">
        <f>'P&amp;L'!G36+'P&amp;L'!G37+'P&amp;L'!G35</f>
        <v>0</v>
      </c>
      <c r="G37" s="330">
        <f>'P&amp;L'!H36+'P&amp;L'!H37+'P&amp;L'!H35</f>
        <v>0</v>
      </c>
      <c r="H37" s="330">
        <f>'P&amp;L'!I36+'P&amp;L'!I37+'P&amp;L'!I35</f>
        <v>58025</v>
      </c>
      <c r="I37" s="330">
        <f>'P&amp;L'!K36+'P&amp;L'!K37+'P&amp;L'!K35</f>
        <v>0</v>
      </c>
      <c r="J37" s="330">
        <f>'P&amp;L'!L36+'P&amp;L'!L37+'P&amp;L'!L35</f>
        <v>4222</v>
      </c>
      <c r="K37" s="330">
        <f>'P&amp;L'!M36+'P&amp;L'!M37+'P&amp;L'!M35</f>
        <v>0</v>
      </c>
      <c r="L37" s="330">
        <f>'P&amp;L'!N36+'P&amp;L'!N37+'P&amp;L'!N35</f>
        <v>46686</v>
      </c>
      <c r="M37" s="330">
        <f>'P&amp;L'!O36+'P&amp;L'!O37+'P&amp;L'!O35</f>
        <v>67532</v>
      </c>
      <c r="N37" s="330">
        <f>'P&amp;L'!P36+'P&amp;L'!P37+'P&amp;L'!P35</f>
        <v>11400</v>
      </c>
      <c r="O37" s="330">
        <f>'P&amp;L'!Q36+'P&amp;L'!Q37+'P&amp;L'!Q35</f>
        <v>0</v>
      </c>
      <c r="P37" s="330"/>
      <c r="Q37" s="331"/>
      <c r="R37" s="330">
        <f>'P&amp;L'!T36+'P&amp;L'!T37+'P&amp;L'!T35</f>
        <v>0</v>
      </c>
      <c r="S37" s="330">
        <f>'P&amp;L'!U36+'P&amp;L'!U37+'P&amp;L'!U35</f>
        <v>0</v>
      </c>
      <c r="T37" s="330">
        <f>'P&amp;L'!V36+'P&amp;L'!V37+'P&amp;L'!V35</f>
        <v>0</v>
      </c>
      <c r="U37" s="330">
        <f>'P&amp;L'!W36+'P&amp;L'!W37+'P&amp;L'!W35</f>
        <v>0</v>
      </c>
      <c r="V37" s="330">
        <f>'P&amp;L'!X36+'P&amp;L'!X37+'P&amp;L'!X35</f>
        <v>0</v>
      </c>
      <c r="W37" s="330">
        <f>'P&amp;L'!Y36+'P&amp;L'!Y37+'P&amp;L'!Y35</f>
        <v>58025</v>
      </c>
      <c r="X37" s="330"/>
      <c r="Y37" s="330">
        <f>'P&amp;L'!AA36+'P&amp;L'!AA37+'P&amp;L'!AA35</f>
        <v>0</v>
      </c>
      <c r="Z37" s="330">
        <f>'P&amp;L'!AB36+'P&amp;L'!AB37+'P&amp;L'!AB35</f>
        <v>0</v>
      </c>
      <c r="AA37" s="330">
        <f>'P&amp;L'!AC36+'P&amp;L'!AC37+'P&amp;L'!AC35</f>
        <v>0</v>
      </c>
      <c r="AB37" s="330">
        <f>'P&amp;L'!AD36+'P&amp;L'!AD37+'P&amp;L'!AD35</f>
        <v>4222</v>
      </c>
      <c r="AC37" s="330">
        <f>'P&amp;L'!AE36+'P&amp;L'!AE37+'P&amp;L'!AE35</f>
        <v>0</v>
      </c>
      <c r="AD37" s="330">
        <f>'P&amp;L'!AF36+'P&amp;L'!AF37+'P&amp;L'!AF35</f>
        <v>0</v>
      </c>
      <c r="AE37" s="330">
        <f>'P&amp;L'!AG36+'P&amp;L'!AG37+'P&amp;L'!AG35</f>
        <v>46686</v>
      </c>
      <c r="AF37" s="330">
        <f>'P&amp;L'!AH36+'P&amp;L'!AH37+'P&amp;L'!AH35</f>
        <v>0</v>
      </c>
      <c r="AG37" s="330">
        <f>'P&amp;L'!AI36+'P&amp;L'!AI37+'P&amp;L'!AI35</f>
        <v>0</v>
      </c>
      <c r="AH37" s="330">
        <f>'P&amp;L'!AJ36+'P&amp;L'!AJ37+'P&amp;L'!AJ35</f>
        <v>67531.998977935757</v>
      </c>
      <c r="AI37" s="330">
        <f>'P&amp;L'!AK36+'P&amp;L'!AK37+'P&amp;L'!AK35</f>
        <v>11400</v>
      </c>
      <c r="AJ37" s="330">
        <f>'P&amp;L'!AL36+'P&amp;L'!AL37+'P&amp;L'!AL35</f>
        <v>0</v>
      </c>
      <c r="AK37" s="330">
        <f>'P&amp;L'!AM36+'P&amp;L'!AM37+'P&amp;L'!AM35</f>
        <v>0</v>
      </c>
      <c r="AL37" s="330">
        <f>'P&amp;L'!AN36+'P&amp;L'!AN37+'P&amp;L'!AN35</f>
        <v>0</v>
      </c>
      <c r="AM37" s="330">
        <f>'P&amp;L'!AO36+'P&amp;L'!AO37+'P&amp;L'!AO35</f>
        <v>0</v>
      </c>
      <c r="AN37" s="330">
        <f>'P&amp;L'!AP36+'P&amp;L'!AP37+'P&amp;L'!AP35</f>
        <v>0</v>
      </c>
      <c r="AO37" s="330">
        <f>'P&amp;L'!AQ36+'P&amp;L'!AQ37+'P&amp;L'!AQ35</f>
        <v>0</v>
      </c>
      <c r="AQ37" s="173"/>
    </row>
    <row r="38" spans="2:43">
      <c r="B38" s="465"/>
      <c r="C38" s="39" t="s">
        <v>454</v>
      </c>
      <c r="D38" s="330">
        <f>-'P&amp;L'!E13</f>
        <v>-17045</v>
      </c>
      <c r="E38" s="330">
        <f>-'P&amp;L'!F13</f>
        <v>-3220</v>
      </c>
      <c r="F38" s="330">
        <f>-'P&amp;L'!G13</f>
        <v>-3641</v>
      </c>
      <c r="G38" s="330">
        <f>-'P&amp;L'!H13</f>
        <v>-2065</v>
      </c>
      <c r="H38" s="330">
        <f>-'P&amp;L'!I13</f>
        <v>1387.1886142502865</v>
      </c>
      <c r="I38" s="330">
        <f>-'P&amp;L'!K13</f>
        <v>-2801</v>
      </c>
      <c r="J38" s="330">
        <f>-'P&amp;L'!L13</f>
        <v>-7578.8555768597116</v>
      </c>
      <c r="K38" s="330">
        <f>-'P&amp;L'!M13</f>
        <v>-10539</v>
      </c>
      <c r="L38" s="330">
        <f>-'P&amp;L'!N13</f>
        <v>6039</v>
      </c>
      <c r="M38" s="330">
        <f>-'P&amp;L'!O13</f>
        <v>68757</v>
      </c>
      <c r="N38" s="330">
        <f>-'P&amp;L'!P13</f>
        <v>71329</v>
      </c>
      <c r="O38" s="330">
        <f>-'P&amp;L'!Q13</f>
        <v>24561</v>
      </c>
      <c r="P38" s="330">
        <f>-'P&amp;L'!R13</f>
        <v>33426</v>
      </c>
      <c r="Q38" s="331"/>
      <c r="R38" s="330">
        <f>-'P&amp;L'!T13</f>
        <v>-2127</v>
      </c>
      <c r="S38" s="330">
        <f>-'P&amp;L'!U13</f>
        <v>-1514</v>
      </c>
      <c r="T38" s="330">
        <f>-'P&amp;L'!V13</f>
        <v>-1260</v>
      </c>
      <c r="U38" s="330">
        <f>-'P&amp;L'!W13</f>
        <v>-805</v>
      </c>
      <c r="V38" s="330">
        <f>-'P&amp;L'!X13</f>
        <v>1289</v>
      </c>
      <c r="W38" s="330">
        <f>-'P&amp;L'!Y13</f>
        <v>98.188614250286491</v>
      </c>
      <c r="X38" s="330"/>
      <c r="Y38" s="330">
        <f>-'P&amp;L'!AA13</f>
        <v>-2893</v>
      </c>
      <c r="Z38" s="330">
        <f>-'P&amp;L'!AB13</f>
        <v>92</v>
      </c>
      <c r="AA38" s="330">
        <f>-'P&amp;L'!AC13</f>
        <v>-6255.7830385090956</v>
      </c>
      <c r="AB38" s="330">
        <f>-'P&amp;L'!AD13</f>
        <v>-1323.072538350616</v>
      </c>
      <c r="AC38" s="330">
        <f>-'P&amp;L'!AE13</f>
        <v>1455</v>
      </c>
      <c r="AD38" s="330">
        <f>-'P&amp;L'!AF13</f>
        <v>-11994</v>
      </c>
      <c r="AE38" s="330">
        <f>-'P&amp;L'!AG13</f>
        <v>7014</v>
      </c>
      <c r="AF38" s="330">
        <f>-'P&amp;L'!AH13</f>
        <v>-975</v>
      </c>
      <c r="AG38" s="330">
        <f>-'P&amp;L'!AI13</f>
        <v>31265</v>
      </c>
      <c r="AH38" s="330">
        <f>-'P&amp;L'!AJ13</f>
        <v>37492</v>
      </c>
      <c r="AI38" s="330">
        <f>-'P&amp;L'!AK13</f>
        <v>35764</v>
      </c>
      <c r="AJ38" s="330">
        <f>-'P&amp;L'!AL13</f>
        <v>35565</v>
      </c>
      <c r="AK38" s="330">
        <f>-'P&amp;L'!AM13</f>
        <v>-4845</v>
      </c>
      <c r="AL38" s="330">
        <f>-'P&amp;L'!AN13</f>
        <v>29406</v>
      </c>
      <c r="AM38" s="330">
        <f>-'P&amp;L'!AO13</f>
        <v>34616</v>
      </c>
      <c r="AN38" s="330">
        <f>-'P&amp;L'!AP13</f>
        <v>-1190</v>
      </c>
      <c r="AO38" s="330">
        <f>-'P&amp;L'!AQ13</f>
        <v>14</v>
      </c>
      <c r="AQ38" s="173"/>
    </row>
    <row r="39" spans="2:43">
      <c r="B39" s="465"/>
      <c r="C39" s="39" t="s">
        <v>456</v>
      </c>
      <c r="D39" s="345" t="s">
        <v>694</v>
      </c>
      <c r="E39" s="345" t="s">
        <v>694</v>
      </c>
      <c r="F39" s="345" t="s">
        <v>694</v>
      </c>
      <c r="G39" s="345" t="s">
        <v>694</v>
      </c>
      <c r="H39" s="345" t="s">
        <v>694</v>
      </c>
      <c r="I39" s="330">
        <f>-'P&amp;L'!K12</f>
        <v>-16880</v>
      </c>
      <c r="J39" s="330">
        <f>-'P&amp;L'!L12</f>
        <v>-16879.803383170016</v>
      </c>
      <c r="K39" s="330">
        <f>-'P&amp;L'!M12</f>
        <v>7653</v>
      </c>
      <c r="L39" s="330">
        <f>-'P&amp;L'!N12</f>
        <v>-3812</v>
      </c>
      <c r="M39" s="330">
        <f>-'P&amp;L'!O12</f>
        <v>40423</v>
      </c>
      <c r="N39" s="330">
        <f>-'P&amp;L'!P12</f>
        <v>73267</v>
      </c>
      <c r="O39" s="330">
        <f>-'P&amp;L'!Q12</f>
        <v>12425</v>
      </c>
      <c r="P39" s="330">
        <f>-'P&amp;L'!R12</f>
        <v>-1920</v>
      </c>
      <c r="Q39" s="331"/>
      <c r="R39" s="330">
        <f>-'P&amp;L'!T12</f>
        <v>0</v>
      </c>
      <c r="S39" s="330">
        <f>-'P&amp;L'!U12</f>
        <v>0</v>
      </c>
      <c r="T39" s="330">
        <f>-'P&amp;L'!V12</f>
        <v>0</v>
      </c>
      <c r="U39" s="330">
        <f>-'P&amp;L'!W12</f>
        <v>0</v>
      </c>
      <c r="V39" s="330">
        <f>-'P&amp;L'!X12</f>
        <v>0</v>
      </c>
      <c r="W39" s="330">
        <f>-'P&amp;L'!Y12</f>
        <v>0</v>
      </c>
      <c r="X39" s="330"/>
      <c r="Y39" s="330">
        <f>-'P&amp;L'!AA12</f>
        <v>-6311</v>
      </c>
      <c r="Z39" s="330">
        <f>-'P&amp;L'!AB12</f>
        <v>-10569</v>
      </c>
      <c r="AA39" s="330">
        <f>-'P&amp;L'!AC12</f>
        <v>-6310.9932471401462</v>
      </c>
      <c r="AB39" s="330">
        <f>-'P&amp;L'!AD12</f>
        <v>-10568.81013602987</v>
      </c>
      <c r="AC39" s="330">
        <f>-'P&amp;L'!AE12</f>
        <v>9081</v>
      </c>
      <c r="AD39" s="330">
        <f>-'P&amp;L'!AF12</f>
        <v>-1428</v>
      </c>
      <c r="AE39" s="330">
        <f>-'P&amp;L'!AG12</f>
        <v>-4541</v>
      </c>
      <c r="AF39" s="330">
        <f>-'P&amp;L'!AH12</f>
        <v>729</v>
      </c>
      <c r="AG39" s="330">
        <f>-'P&amp;L'!AI12</f>
        <v>-2241</v>
      </c>
      <c r="AH39" s="330">
        <f>-'P&amp;L'!AJ12</f>
        <v>42664</v>
      </c>
      <c r="AI39" s="330">
        <f>-'P&amp;L'!AK12</f>
        <v>10112</v>
      </c>
      <c r="AJ39" s="330">
        <f>-'P&amp;L'!AL12</f>
        <v>63155</v>
      </c>
      <c r="AK39" s="330">
        <f>-'P&amp;L'!AM12</f>
        <v>-1705</v>
      </c>
      <c r="AL39" s="330">
        <f>-'P&amp;L'!AN12</f>
        <v>14130</v>
      </c>
      <c r="AM39" s="330">
        <f>-'P&amp;L'!AO12</f>
        <v>-2879</v>
      </c>
      <c r="AN39" s="330">
        <f>-'P&amp;L'!AP12</f>
        <v>959</v>
      </c>
      <c r="AO39" s="330">
        <f>-'P&amp;L'!AQ12</f>
        <v>1401</v>
      </c>
      <c r="AQ39" s="173"/>
    </row>
    <row r="40" spans="2:43">
      <c r="B40" s="465"/>
      <c r="C40" s="74" t="s">
        <v>455</v>
      </c>
      <c r="D40" s="332">
        <f t="shared" ref="D40:N40" si="10">SUM(D30:D39)</f>
        <v>303218</v>
      </c>
      <c r="E40" s="332">
        <f t="shared" si="10"/>
        <v>130468</v>
      </c>
      <c r="F40" s="332">
        <f t="shared" si="10"/>
        <v>206570</v>
      </c>
      <c r="G40" s="332">
        <f t="shared" si="10"/>
        <v>282183</v>
      </c>
      <c r="H40" s="332">
        <f t="shared" si="10"/>
        <v>287906.68248592829</v>
      </c>
      <c r="I40" s="332">
        <f t="shared" si="10"/>
        <v>197830</v>
      </c>
      <c r="J40" s="332">
        <f t="shared" ref="J40" si="11">SUM(J30:J39)</f>
        <v>361001.49568783201</v>
      </c>
      <c r="K40" s="332">
        <f t="shared" si="10"/>
        <v>375907</v>
      </c>
      <c r="L40" s="332">
        <f t="shared" si="10"/>
        <v>290960</v>
      </c>
      <c r="M40" s="332">
        <f t="shared" si="10"/>
        <v>224329</v>
      </c>
      <c r="N40" s="332">
        <f t="shared" si="10"/>
        <v>201636</v>
      </c>
      <c r="O40" s="332">
        <f>SUM(O30:O39)</f>
        <v>217303</v>
      </c>
      <c r="P40" s="332">
        <f>SUM(P30:P39)</f>
        <v>226944</v>
      </c>
      <c r="Q40" s="333"/>
      <c r="R40" s="332">
        <f t="shared" ref="R40:AM40" si="12">SUM(R30:R39)</f>
        <v>79653</v>
      </c>
      <c r="S40" s="332">
        <f t="shared" si="12"/>
        <v>126917</v>
      </c>
      <c r="T40" s="332">
        <f t="shared" si="12"/>
        <v>144991</v>
      </c>
      <c r="U40" s="332">
        <f t="shared" si="12"/>
        <v>137192</v>
      </c>
      <c r="V40" s="332">
        <f t="shared" si="12"/>
        <v>144571</v>
      </c>
      <c r="W40" s="332">
        <f t="shared" si="12"/>
        <v>143334.57456179406</v>
      </c>
      <c r="X40" s="332"/>
      <c r="Y40" s="332">
        <f t="shared" si="12"/>
        <v>104334</v>
      </c>
      <c r="Z40" s="332">
        <f t="shared" si="12"/>
        <v>93496</v>
      </c>
      <c r="AA40" s="332">
        <f t="shared" ref="AA40:AB40" si="13">SUM(AA30:AA39)</f>
        <v>189085.73072745095</v>
      </c>
      <c r="AB40" s="332">
        <f t="shared" si="13"/>
        <v>171915.76496038109</v>
      </c>
      <c r="AC40" s="332">
        <f t="shared" si="12"/>
        <v>189926</v>
      </c>
      <c r="AD40" s="332">
        <f t="shared" si="12"/>
        <v>185981</v>
      </c>
      <c r="AE40" s="332">
        <f t="shared" si="12"/>
        <v>153443</v>
      </c>
      <c r="AF40" s="332">
        <f t="shared" si="12"/>
        <v>137517</v>
      </c>
      <c r="AG40" s="332">
        <f t="shared" si="12"/>
        <v>111548</v>
      </c>
      <c r="AH40" s="332">
        <f t="shared" si="12"/>
        <v>112780.92912010831</v>
      </c>
      <c r="AI40" s="332">
        <f t="shared" si="12"/>
        <v>97295</v>
      </c>
      <c r="AJ40" s="332">
        <f t="shared" si="12"/>
        <v>104341</v>
      </c>
      <c r="AK40" s="332">
        <f t="shared" si="12"/>
        <v>108744.73234485694</v>
      </c>
      <c r="AL40" s="332">
        <f t="shared" si="12"/>
        <v>108558.26765514306</v>
      </c>
      <c r="AM40" s="332">
        <f t="shared" si="12"/>
        <v>116047</v>
      </c>
      <c r="AN40" s="332">
        <f t="shared" ref="AN40:AO40" si="14">SUM(AN30:AN39)</f>
        <v>110897</v>
      </c>
      <c r="AO40" s="332">
        <f t="shared" si="14"/>
        <v>104859</v>
      </c>
      <c r="AQ40" s="173"/>
    </row>
    <row r="41" spans="2:43">
      <c r="C41" s="39"/>
      <c r="D41" s="330"/>
      <c r="E41" s="330"/>
      <c r="F41" s="330"/>
      <c r="G41" s="330"/>
      <c r="H41" s="330"/>
      <c r="I41" s="330"/>
      <c r="J41" s="330"/>
      <c r="K41" s="330"/>
      <c r="L41" s="330"/>
      <c r="M41" s="330"/>
      <c r="N41" s="330"/>
      <c r="O41" s="330"/>
      <c r="P41" s="330"/>
      <c r="Q41" s="331"/>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Q41" s="173"/>
    </row>
    <row r="42" spans="2:43">
      <c r="B42" s="465" t="s">
        <v>163</v>
      </c>
      <c r="C42" s="39" t="s">
        <v>69</v>
      </c>
      <c r="D42" s="330">
        <f>'Cash flow'!E36</f>
        <v>269548</v>
      </c>
      <c r="E42" s="330">
        <f>'Cash flow'!F36</f>
        <v>141160</v>
      </c>
      <c r="F42" s="330">
        <f>'Cash flow'!G36</f>
        <v>174433</v>
      </c>
      <c r="G42" s="330">
        <f>'Cash flow'!H36</f>
        <v>230156</v>
      </c>
      <c r="H42" s="330">
        <f>'Cash flow'!I36</f>
        <v>251807</v>
      </c>
      <c r="I42" s="330">
        <f>'Cash flow'!K36</f>
        <v>251586</v>
      </c>
      <c r="J42" s="402" t="s">
        <v>694</v>
      </c>
      <c r="K42" s="330">
        <f>'Cash flow'!L36</f>
        <v>335215</v>
      </c>
      <c r="L42" s="330">
        <f>'Cash flow'!M36</f>
        <v>248023</v>
      </c>
      <c r="M42" s="330">
        <f>'Cash flow'!N36</f>
        <v>195840.92912010831</v>
      </c>
      <c r="N42" s="330">
        <f>'Cash flow'!O36</f>
        <v>173944</v>
      </c>
      <c r="O42" s="330">
        <f>'Cash flow'!P36</f>
        <v>174342</v>
      </c>
      <c r="P42" s="330">
        <f>'Cash flow'!Q36</f>
        <v>185427</v>
      </c>
      <c r="Q42" s="331"/>
      <c r="R42" s="330">
        <f>'Cash flow'!S36</f>
        <v>63516</v>
      </c>
      <c r="S42" s="330">
        <f>'Cash flow'!T36</f>
        <v>110917</v>
      </c>
      <c r="T42" s="330">
        <f>'Cash flow'!U36</f>
        <v>114721</v>
      </c>
      <c r="U42" s="330">
        <f>'Cash flow'!V36</f>
        <v>115435</v>
      </c>
      <c r="V42" s="330">
        <f>'Cash flow'!W36</f>
        <v>116421</v>
      </c>
      <c r="W42" s="330">
        <f>'Cash flow'!X36</f>
        <v>135386</v>
      </c>
      <c r="X42" s="330"/>
      <c r="Y42" s="330">
        <f>'Cash flow'!Z36</f>
        <v>150849</v>
      </c>
      <c r="Z42" s="330">
        <f>'Cash flow'!AA36</f>
        <v>100737</v>
      </c>
      <c r="AA42" s="216" t="s">
        <v>694</v>
      </c>
      <c r="AB42" s="216" t="s">
        <v>694</v>
      </c>
      <c r="AC42" s="330">
        <f>'Cash flow'!AB36</f>
        <v>157703</v>
      </c>
      <c r="AD42" s="330">
        <f>'Cash flow'!AC36</f>
        <v>177512</v>
      </c>
      <c r="AE42" s="330">
        <f>'Cash flow'!AD36</f>
        <v>133955</v>
      </c>
      <c r="AF42" s="330">
        <f>'Cash flow'!AE36</f>
        <v>114068</v>
      </c>
      <c r="AG42" s="330">
        <f>'Cash flow'!AF36</f>
        <v>95668</v>
      </c>
      <c r="AH42" s="330">
        <f>'Cash flow'!AG36</f>
        <v>100172.92912010831</v>
      </c>
      <c r="AI42" s="330">
        <f>'Cash flow'!AH36</f>
        <v>78188</v>
      </c>
      <c r="AJ42" s="330">
        <f>'Cash flow'!AI36</f>
        <v>95756</v>
      </c>
      <c r="AK42" s="330">
        <f>'Cash flow'!AJ36</f>
        <v>86184</v>
      </c>
      <c r="AL42" s="330">
        <f>'Cash flow'!AK36</f>
        <v>88158</v>
      </c>
      <c r="AM42" s="330">
        <f>'Cash flow'!AL36</f>
        <v>80107</v>
      </c>
      <c r="AN42" s="330">
        <f>'Cash flow'!AM36</f>
        <v>105320</v>
      </c>
      <c r="AO42" s="330">
        <f>'Cash flow'!AN36</f>
        <v>80967</v>
      </c>
      <c r="AQ42" s="173"/>
    </row>
    <row r="43" spans="2:43">
      <c r="B43" s="465"/>
      <c r="C43" s="39" t="s">
        <v>463</v>
      </c>
      <c r="D43" s="330"/>
      <c r="E43" s="330"/>
      <c r="F43" s="330"/>
      <c r="G43" s="330"/>
      <c r="H43" s="330"/>
      <c r="I43" s="330"/>
      <c r="J43" s="330"/>
      <c r="K43" s="330"/>
      <c r="L43" s="330"/>
      <c r="M43" s="330"/>
      <c r="N43" s="330"/>
      <c r="O43" s="330"/>
      <c r="P43" s="330"/>
      <c r="Q43" s="331"/>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Q43" s="173"/>
    </row>
    <row r="44" spans="2:43">
      <c r="B44" s="465"/>
      <c r="C44" s="39" t="s">
        <v>72</v>
      </c>
      <c r="D44" s="330">
        <f>'Cash flow'!E47</f>
        <v>-179782</v>
      </c>
      <c r="E44" s="330">
        <f>'Cash flow'!F47</f>
        <v>-58983</v>
      </c>
      <c r="F44" s="330">
        <f>'Cash flow'!G47</f>
        <v>-52211</v>
      </c>
      <c r="G44" s="330">
        <f>'Cash flow'!H47</f>
        <v>-131971</v>
      </c>
      <c r="H44" s="330">
        <f>'Cash flow'!I47</f>
        <v>-79765</v>
      </c>
      <c r="I44" s="330">
        <f>'Cash flow'!K47</f>
        <v>-62783</v>
      </c>
      <c r="J44" s="402" t="s">
        <v>694</v>
      </c>
      <c r="K44" s="330">
        <f>'Cash flow'!L47</f>
        <v>-23568</v>
      </c>
      <c r="L44" s="330">
        <f>'Cash flow'!M47</f>
        <v>-11733</v>
      </c>
      <c r="M44" s="330">
        <f>'Cash flow'!N47</f>
        <v>-18043</v>
      </c>
      <c r="N44" s="330">
        <f>'Cash flow'!O47</f>
        <v>-28041</v>
      </c>
      <c r="O44" s="330">
        <f>'Cash flow'!P47</f>
        <v>-40752</v>
      </c>
      <c r="P44" s="330">
        <f>'Cash flow'!Q47</f>
        <v>-26625</v>
      </c>
      <c r="Q44" s="331"/>
      <c r="R44" s="330">
        <f>'Cash flow'!S47</f>
        <v>-11744</v>
      </c>
      <c r="S44" s="330">
        <f>'Cash flow'!T47</f>
        <v>-40467</v>
      </c>
      <c r="T44" s="330">
        <f>'Cash flow'!U47</f>
        <v>-49118</v>
      </c>
      <c r="U44" s="330">
        <f>'Cash flow'!V47</f>
        <v>-82853</v>
      </c>
      <c r="V44" s="330">
        <f>'Cash flow'!W47</f>
        <v>-34478</v>
      </c>
      <c r="W44" s="330">
        <f>'Cash flow'!X47</f>
        <v>-45287</v>
      </c>
      <c r="X44" s="330"/>
      <c r="Y44" s="330">
        <f>'Cash flow'!Z47</f>
        <v>-17786</v>
      </c>
      <c r="Z44" s="330">
        <f>'Cash flow'!AA47</f>
        <v>-44997</v>
      </c>
      <c r="AA44" s="216" t="s">
        <v>694</v>
      </c>
      <c r="AB44" s="216" t="s">
        <v>694</v>
      </c>
      <c r="AC44" s="330">
        <f>'Cash flow'!AB47</f>
        <v>-13013</v>
      </c>
      <c r="AD44" s="330">
        <f>'Cash flow'!AC47</f>
        <v>-10555</v>
      </c>
      <c r="AE44" s="330">
        <f>'Cash flow'!AD47</f>
        <v>-4717</v>
      </c>
      <c r="AF44" s="330">
        <f>'Cash flow'!AE47</f>
        <v>-7016</v>
      </c>
      <c r="AG44" s="330">
        <f>'Cash flow'!AF47</f>
        <v>-4575</v>
      </c>
      <c r="AH44" s="330">
        <f>'Cash flow'!AG47</f>
        <v>-13468</v>
      </c>
      <c r="AI44" s="330">
        <f>'Cash flow'!AH47</f>
        <v>-7853</v>
      </c>
      <c r="AJ44" s="330">
        <f>'Cash flow'!AI47</f>
        <v>-20188</v>
      </c>
      <c r="AK44" s="330">
        <f>'Cash flow'!AJ47</f>
        <v>-13505</v>
      </c>
      <c r="AL44" s="330">
        <f>'Cash flow'!AK47</f>
        <v>-27247</v>
      </c>
      <c r="AM44" s="330">
        <f>'Cash flow'!AL47</f>
        <v>-5660</v>
      </c>
      <c r="AN44" s="330">
        <f>'Cash flow'!AM47</f>
        <v>-20965</v>
      </c>
      <c r="AO44" s="330">
        <f>'Cash flow'!AN47</f>
        <v>-11531</v>
      </c>
      <c r="AQ44" s="173"/>
    </row>
    <row r="45" spans="2:43">
      <c r="B45" s="465"/>
      <c r="C45" s="74" t="s">
        <v>464</v>
      </c>
      <c r="D45" s="332">
        <f>SUM(D42:D44)</f>
        <v>89766</v>
      </c>
      <c r="E45" s="332">
        <f t="shared" ref="E45:AO45" si="15">SUM(E42:E44)</f>
        <v>82177</v>
      </c>
      <c r="F45" s="332">
        <f t="shared" si="15"/>
        <v>122222</v>
      </c>
      <c r="G45" s="332">
        <f t="shared" si="15"/>
        <v>98185</v>
      </c>
      <c r="H45" s="332">
        <f t="shared" si="15"/>
        <v>172042</v>
      </c>
      <c r="I45" s="332">
        <f t="shared" si="15"/>
        <v>188803</v>
      </c>
      <c r="J45" s="393" t="s">
        <v>694</v>
      </c>
      <c r="K45" s="332">
        <f t="shared" si="15"/>
        <v>311647</v>
      </c>
      <c r="L45" s="332">
        <f t="shared" si="15"/>
        <v>236290</v>
      </c>
      <c r="M45" s="332">
        <f t="shared" si="15"/>
        <v>177797.92912010831</v>
      </c>
      <c r="N45" s="332">
        <f t="shared" si="15"/>
        <v>145903</v>
      </c>
      <c r="O45" s="332">
        <f t="shared" si="15"/>
        <v>133590</v>
      </c>
      <c r="P45" s="332">
        <f t="shared" si="15"/>
        <v>158802</v>
      </c>
      <c r="Q45" s="333"/>
      <c r="R45" s="332">
        <f t="shared" si="15"/>
        <v>51772</v>
      </c>
      <c r="S45" s="332">
        <f t="shared" si="15"/>
        <v>70450</v>
      </c>
      <c r="T45" s="332">
        <f t="shared" si="15"/>
        <v>65603</v>
      </c>
      <c r="U45" s="332">
        <f t="shared" si="15"/>
        <v>32582</v>
      </c>
      <c r="V45" s="332">
        <f t="shared" si="15"/>
        <v>81943</v>
      </c>
      <c r="W45" s="332">
        <f t="shared" si="15"/>
        <v>90099</v>
      </c>
      <c r="X45" s="332"/>
      <c r="Y45" s="332">
        <f t="shared" si="15"/>
        <v>133063</v>
      </c>
      <c r="Z45" s="332">
        <f t="shared" si="15"/>
        <v>55740</v>
      </c>
      <c r="AA45" s="393" t="s">
        <v>694</v>
      </c>
      <c r="AB45" s="393" t="s">
        <v>694</v>
      </c>
      <c r="AC45" s="332">
        <f t="shared" si="15"/>
        <v>144690</v>
      </c>
      <c r="AD45" s="332">
        <f t="shared" si="15"/>
        <v>166957</v>
      </c>
      <c r="AE45" s="332">
        <f t="shared" si="15"/>
        <v>129238</v>
      </c>
      <c r="AF45" s="332">
        <f t="shared" si="15"/>
        <v>107052</v>
      </c>
      <c r="AG45" s="332">
        <f t="shared" si="15"/>
        <v>91093</v>
      </c>
      <c r="AH45" s="332">
        <f t="shared" si="15"/>
        <v>86704.929120108311</v>
      </c>
      <c r="AI45" s="332">
        <f t="shared" si="15"/>
        <v>70335</v>
      </c>
      <c r="AJ45" s="332">
        <f t="shared" si="15"/>
        <v>75568</v>
      </c>
      <c r="AK45" s="332">
        <f t="shared" si="15"/>
        <v>72679</v>
      </c>
      <c r="AL45" s="332">
        <f t="shared" si="15"/>
        <v>60911</v>
      </c>
      <c r="AM45" s="332">
        <f t="shared" si="15"/>
        <v>74447</v>
      </c>
      <c r="AN45" s="332">
        <f t="shared" si="15"/>
        <v>84355</v>
      </c>
      <c r="AO45" s="332">
        <f t="shared" si="15"/>
        <v>69436</v>
      </c>
      <c r="AQ45" s="173"/>
    </row>
    <row r="46" spans="2:43">
      <c r="C46" s="39"/>
      <c r="D46" s="330"/>
      <c r="E46" s="330"/>
      <c r="F46" s="330"/>
      <c r="G46" s="330"/>
      <c r="H46" s="330"/>
      <c r="I46" s="330"/>
      <c r="J46" s="330"/>
      <c r="K46" s="330"/>
      <c r="L46" s="330"/>
      <c r="M46" s="330"/>
      <c r="N46" s="330"/>
      <c r="O46" s="330"/>
      <c r="P46" s="330"/>
      <c r="Q46" s="331"/>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Q46" s="173"/>
    </row>
    <row r="47" spans="2:43" ht="17.25" customHeight="1">
      <c r="B47" s="465" t="s">
        <v>467</v>
      </c>
      <c r="C47" s="1" t="s">
        <v>0</v>
      </c>
      <c r="D47" s="330">
        <f>'P&amp;L'!E7</f>
        <v>512294</v>
      </c>
      <c r="E47" s="330">
        <f>'P&amp;L'!F7</f>
        <v>274550</v>
      </c>
      <c r="F47" s="330">
        <f>'P&amp;L'!G7</f>
        <v>382437</v>
      </c>
      <c r="G47" s="330">
        <f>'P&amp;L'!H7</f>
        <v>501341</v>
      </c>
      <c r="H47" s="330">
        <f>'P&amp;L'!I7</f>
        <v>501828.57456179406</v>
      </c>
      <c r="I47" s="330">
        <f>'P&amp;L'!K7</f>
        <v>332244</v>
      </c>
      <c r="J47" s="330">
        <f>'P&amp;L'!L7</f>
        <v>589117.58710648154</v>
      </c>
      <c r="K47" s="330">
        <f>'P&amp;L'!M7</f>
        <v>562382</v>
      </c>
      <c r="L47" s="330">
        <f>'P&amp;L'!N7</f>
        <v>405692</v>
      </c>
      <c r="M47" s="330">
        <f>'P&amp;L'!O7</f>
        <v>331468</v>
      </c>
      <c r="N47" s="330">
        <f>'P&amp;L'!P7</f>
        <v>330505</v>
      </c>
      <c r="O47" s="330">
        <f>'P&amp;L'!Q7</f>
        <v>343575</v>
      </c>
      <c r="P47" s="330">
        <f>'P&amp;L'!R7</f>
        <v>361873</v>
      </c>
      <c r="Q47" s="331"/>
      <c r="R47" s="330">
        <f>'P&amp;L'!T7</f>
        <v>165559</v>
      </c>
      <c r="S47" s="330">
        <f>'P&amp;L'!U7</f>
        <v>216878</v>
      </c>
      <c r="T47" s="330">
        <f>'P&amp;L'!V7</f>
        <v>259693</v>
      </c>
      <c r="U47" s="330">
        <f>'P&amp;L'!W7</f>
        <v>241648</v>
      </c>
      <c r="V47" s="330">
        <f>'P&amp;L'!X7</f>
        <v>255688</v>
      </c>
      <c r="W47" s="330">
        <f>'P&amp;L'!Y7</f>
        <v>246140.57456179406</v>
      </c>
      <c r="X47" s="330"/>
      <c r="Y47" s="330">
        <f>'P&amp;L'!AA7</f>
        <v>168767</v>
      </c>
      <c r="Z47" s="330">
        <f>'P&amp;L'!AB7</f>
        <v>163477</v>
      </c>
      <c r="AA47" s="330">
        <f>'P&amp;L'!AC7</f>
        <v>300568.18537320517</v>
      </c>
      <c r="AB47" s="330">
        <f>'P&amp;L'!AD7</f>
        <v>288549.40173327638</v>
      </c>
      <c r="AC47" s="330">
        <f>'P&amp;L'!AE7</f>
        <v>286518</v>
      </c>
      <c r="AD47" s="330">
        <f>'P&amp;L'!AF7</f>
        <v>275864</v>
      </c>
      <c r="AE47" s="330">
        <f>'P&amp;L'!AG7</f>
        <v>214329</v>
      </c>
      <c r="AF47" s="330">
        <f>'P&amp;L'!AH7</f>
        <v>191363</v>
      </c>
      <c r="AG47" s="330">
        <f>'P&amp;L'!AI7</f>
        <v>163707</v>
      </c>
      <c r="AH47" s="330">
        <f>'P&amp;L'!AJ7</f>
        <v>167761</v>
      </c>
      <c r="AI47" s="330">
        <f>'P&amp;L'!AK7</f>
        <v>162467</v>
      </c>
      <c r="AJ47" s="330">
        <f>'P&amp;L'!AL7</f>
        <v>168038</v>
      </c>
      <c r="AK47" s="330">
        <f>'P&amp;L'!AM7</f>
        <v>175339</v>
      </c>
      <c r="AL47" s="330">
        <f>'P&amp;L'!AN7</f>
        <v>168236</v>
      </c>
      <c r="AM47" s="330">
        <f>'P&amp;L'!AO7</f>
        <v>181240</v>
      </c>
      <c r="AN47" s="330">
        <f>'P&amp;L'!AP7</f>
        <v>180633</v>
      </c>
      <c r="AO47" s="330">
        <f>'P&amp;L'!AQ7</f>
        <v>184436</v>
      </c>
      <c r="AQ47" s="173"/>
    </row>
    <row r="48" spans="2:43" ht="15.75" customHeight="1">
      <c r="B48" s="465"/>
      <c r="C48" s="1" t="s">
        <v>455</v>
      </c>
      <c r="D48" s="330">
        <f>D40</f>
        <v>303218</v>
      </c>
      <c r="E48" s="330">
        <f t="shared" ref="E48:AK48" si="16">E40</f>
        <v>130468</v>
      </c>
      <c r="F48" s="330">
        <f t="shared" si="16"/>
        <v>206570</v>
      </c>
      <c r="G48" s="330">
        <f t="shared" si="16"/>
        <v>282183</v>
      </c>
      <c r="H48" s="330">
        <f t="shared" si="16"/>
        <v>287906.68248592829</v>
      </c>
      <c r="I48" s="330">
        <f t="shared" si="16"/>
        <v>197830</v>
      </c>
      <c r="J48" s="330">
        <f t="shared" ref="J48" si="17">J40</f>
        <v>361001.49568783201</v>
      </c>
      <c r="K48" s="330">
        <f t="shared" si="16"/>
        <v>375907</v>
      </c>
      <c r="L48" s="330">
        <f t="shared" si="16"/>
        <v>290960</v>
      </c>
      <c r="M48" s="330">
        <f t="shared" si="16"/>
        <v>224329</v>
      </c>
      <c r="N48" s="330">
        <f t="shared" si="16"/>
        <v>201636</v>
      </c>
      <c r="O48" s="330">
        <f t="shared" si="16"/>
        <v>217303</v>
      </c>
      <c r="P48" s="330">
        <f t="shared" si="16"/>
        <v>226944</v>
      </c>
      <c r="Q48" s="331"/>
      <c r="R48" s="330">
        <f t="shared" si="16"/>
        <v>79653</v>
      </c>
      <c r="S48" s="330">
        <f t="shared" si="16"/>
        <v>126917</v>
      </c>
      <c r="T48" s="330">
        <f t="shared" si="16"/>
        <v>144991</v>
      </c>
      <c r="U48" s="330">
        <f t="shared" si="16"/>
        <v>137192</v>
      </c>
      <c r="V48" s="330">
        <f t="shared" si="16"/>
        <v>144571</v>
      </c>
      <c r="W48" s="330">
        <f t="shared" si="16"/>
        <v>143334.57456179406</v>
      </c>
      <c r="X48" s="330"/>
      <c r="Y48" s="330">
        <f t="shared" si="16"/>
        <v>104334</v>
      </c>
      <c r="Z48" s="330">
        <f t="shared" si="16"/>
        <v>93496</v>
      </c>
      <c r="AA48" s="330">
        <f t="shared" ref="AA48:AB48" si="18">AA40</f>
        <v>189085.73072745095</v>
      </c>
      <c r="AB48" s="330">
        <f t="shared" si="18"/>
        <v>171915.76496038109</v>
      </c>
      <c r="AC48" s="330">
        <f t="shared" si="16"/>
        <v>189926</v>
      </c>
      <c r="AD48" s="330">
        <f t="shared" si="16"/>
        <v>185981</v>
      </c>
      <c r="AE48" s="330">
        <f t="shared" si="16"/>
        <v>153443</v>
      </c>
      <c r="AF48" s="330">
        <f t="shared" si="16"/>
        <v>137517</v>
      </c>
      <c r="AG48" s="330">
        <f t="shared" si="16"/>
        <v>111548</v>
      </c>
      <c r="AH48" s="330">
        <f t="shared" si="16"/>
        <v>112780.92912010831</v>
      </c>
      <c r="AI48" s="330">
        <f t="shared" si="16"/>
        <v>97295</v>
      </c>
      <c r="AJ48" s="330">
        <f t="shared" si="16"/>
        <v>104341</v>
      </c>
      <c r="AK48" s="330">
        <f t="shared" si="16"/>
        <v>108744.73234485694</v>
      </c>
      <c r="AL48" s="330">
        <f t="shared" ref="AL48:AM48" si="19">AL40</f>
        <v>108558.26765514306</v>
      </c>
      <c r="AM48" s="330">
        <f t="shared" si="19"/>
        <v>116047</v>
      </c>
      <c r="AN48" s="330">
        <f t="shared" ref="AN48:AO48" si="20">AN40</f>
        <v>110897</v>
      </c>
      <c r="AO48" s="330">
        <f t="shared" si="20"/>
        <v>104859</v>
      </c>
      <c r="AQ48" s="173"/>
    </row>
    <row r="49" spans="2:43" ht="10.5" customHeight="1">
      <c r="B49" s="465"/>
      <c r="C49" s="74" t="s">
        <v>465</v>
      </c>
      <c r="D49" s="394">
        <f>D48/D47</f>
        <v>0.59188278605644418</v>
      </c>
      <c r="E49" s="394">
        <f t="shared" ref="E49:AL49" si="21">E48/E47</f>
        <v>0.47520670187579678</v>
      </c>
      <c r="F49" s="394">
        <f t="shared" si="21"/>
        <v>0.54014125202320906</v>
      </c>
      <c r="G49" s="394">
        <f t="shared" si="21"/>
        <v>0.56285641908401662</v>
      </c>
      <c r="H49" s="394">
        <f t="shared" si="21"/>
        <v>0.57371520292030742</v>
      </c>
      <c r="I49" s="394">
        <f t="shared" si="21"/>
        <v>0.59543588447044948</v>
      </c>
      <c r="J49" s="394">
        <f t="shared" ref="J49" si="22">J48/J47</f>
        <v>0.61278342997860946</v>
      </c>
      <c r="K49" s="394">
        <f t="shared" si="21"/>
        <v>0.66841933063291503</v>
      </c>
      <c r="L49" s="394">
        <f t="shared" si="21"/>
        <v>0.71719432475868394</v>
      </c>
      <c r="M49" s="394">
        <f t="shared" si="21"/>
        <v>0.67677422858315128</v>
      </c>
      <c r="N49" s="394">
        <f t="shared" si="21"/>
        <v>0.61008456755571017</v>
      </c>
      <c r="O49" s="394">
        <f t="shared" si="21"/>
        <v>0.63247616968638576</v>
      </c>
      <c r="P49" s="394">
        <f t="shared" si="21"/>
        <v>0.62713714479941862</v>
      </c>
      <c r="Q49" s="415"/>
      <c r="R49" s="394">
        <f t="shared" si="21"/>
        <v>0.481115493570268</v>
      </c>
      <c r="S49" s="394">
        <f t="shared" si="21"/>
        <v>0.58519997417903158</v>
      </c>
      <c r="T49" s="394">
        <f t="shared" si="21"/>
        <v>0.55831693576646269</v>
      </c>
      <c r="U49" s="394">
        <f t="shared" si="21"/>
        <v>0.56773488710852149</v>
      </c>
      <c r="V49" s="394">
        <f t="shared" si="21"/>
        <v>0.56541957385563657</v>
      </c>
      <c r="W49" s="394">
        <f t="shared" si="21"/>
        <v>0.58232810586785089</v>
      </c>
      <c r="X49" s="394"/>
      <c r="Y49" s="394">
        <f t="shared" si="21"/>
        <v>0.61821327629216616</v>
      </c>
      <c r="Z49" s="394">
        <f t="shared" si="21"/>
        <v>0.57192143237274973</v>
      </c>
      <c r="AA49" s="394">
        <f t="shared" ref="AA49:AB49" si="23">AA48/AA47</f>
        <v>0.62909429516856452</v>
      </c>
      <c r="AB49" s="394">
        <f t="shared" si="23"/>
        <v>0.59579317762472161</v>
      </c>
      <c r="AC49" s="394">
        <f t="shared" si="21"/>
        <v>0.66287632888684134</v>
      </c>
      <c r="AD49" s="394">
        <f t="shared" si="21"/>
        <v>0.67417640576515969</v>
      </c>
      <c r="AE49" s="394">
        <f t="shared" si="21"/>
        <v>0.7159227169445106</v>
      </c>
      <c r="AF49" s="394">
        <f t="shared" si="21"/>
        <v>0.71861854172436679</v>
      </c>
      <c r="AG49" s="394">
        <f t="shared" si="21"/>
        <v>0.6813880896968364</v>
      </c>
      <c r="AH49" s="394">
        <f t="shared" si="21"/>
        <v>0.67227144044270304</v>
      </c>
      <c r="AI49" s="394">
        <f t="shared" si="21"/>
        <v>0.59886007620008985</v>
      </c>
      <c r="AJ49" s="394">
        <f t="shared" si="21"/>
        <v>0.62093693093228908</v>
      </c>
      <c r="AK49" s="394">
        <f t="shared" si="21"/>
        <v>0.62019706023678101</v>
      </c>
      <c r="AL49" s="394">
        <f t="shared" si="21"/>
        <v>0.64527370868983491</v>
      </c>
      <c r="AM49" s="394">
        <f>AM48/AM47</f>
        <v>0.64029463694548661</v>
      </c>
      <c r="AN49" s="394">
        <f>AN48/AN47</f>
        <v>0.6139354381536043</v>
      </c>
      <c r="AO49" s="394">
        <f>AO48/AO47</f>
        <v>0.56853868008414843</v>
      </c>
      <c r="AQ49" s="173"/>
    </row>
    <row r="50" spans="2:43">
      <c r="C50" s="39"/>
      <c r="D50" s="272"/>
      <c r="E50" s="272"/>
      <c r="F50" s="272"/>
      <c r="G50" s="272"/>
      <c r="H50" s="272"/>
      <c r="I50" s="272"/>
      <c r="J50" s="272"/>
      <c r="K50" s="272"/>
      <c r="L50" s="272"/>
      <c r="M50" s="272"/>
      <c r="N50" s="272"/>
      <c r="O50" s="272"/>
      <c r="P50" s="272"/>
      <c r="Q50" s="29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Q50" s="173"/>
    </row>
    <row r="52" spans="2:43">
      <c r="C52" s="6" t="s">
        <v>108</v>
      </c>
    </row>
    <row r="53" spans="2:43">
      <c r="C53" s="8" t="s">
        <v>109</v>
      </c>
      <c r="Q53" s="416"/>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159"/>
      <c r="AO53" s="159"/>
    </row>
    <row r="54" spans="2:43" ht="15.75">
      <c r="Y54" s="273"/>
      <c r="Z54" s="273"/>
      <c r="AA54" s="273"/>
      <c r="AB54" s="273"/>
      <c r="AC54" s="273"/>
      <c r="AD54" s="273"/>
      <c r="AE54" s="273"/>
      <c r="AF54" s="273"/>
      <c r="AG54" s="273"/>
      <c r="AH54" s="273"/>
      <c r="AI54" s="273"/>
      <c r="AJ54" s="273"/>
      <c r="AK54" s="273"/>
      <c r="AL54" s="273"/>
      <c r="AM54" s="273"/>
    </row>
    <row r="55" spans="2:43" ht="14.25">
      <c r="C55" s="396" t="s">
        <v>734</v>
      </c>
    </row>
    <row r="56" spans="2:43" ht="14.25">
      <c r="C56" s="463" t="s">
        <v>749</v>
      </c>
      <c r="D56" s="463"/>
      <c r="E56" s="463"/>
      <c r="F56" s="463"/>
      <c r="G56" s="463"/>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3"/>
      <c r="AL56" s="463"/>
      <c r="AM56" s="463"/>
      <c r="AN56" s="463"/>
    </row>
    <row r="57" spans="2:43" ht="50.25" customHeight="1">
      <c r="C57" s="463" t="s">
        <v>751</v>
      </c>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row>
    <row r="58" spans="2:43" ht="45" customHeight="1">
      <c r="C58" s="463" t="s">
        <v>754</v>
      </c>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M58" s="463"/>
      <c r="AN58" s="463"/>
    </row>
  </sheetData>
  <mergeCells count="6">
    <mergeCell ref="C58:AN58"/>
    <mergeCell ref="B42:B45"/>
    <mergeCell ref="B47:B49"/>
    <mergeCell ref="B30:B40"/>
    <mergeCell ref="C56:AN56"/>
    <mergeCell ref="C57:AN57"/>
  </mergeCells>
  <phoneticPr fontId="348" type="noConversion"/>
  <dataValidations disablePrompts="1" count="1">
    <dataValidation allowBlank="1" showErrorMessage="1" sqref="C42:C44 C47:C48" xr:uid="{00000000-0002-0000-0700-000000000000}">
      <formula1>0</formula1>
      <formula2>0</formula2>
    </dataValidation>
  </dataValidations>
  <hyperlinks>
    <hyperlink ref="C53" r:id="rId1" xr:uid="{00000000-0004-0000-0700-000000000000}"/>
  </hyperlinks>
  <pageMargins left="0.7" right="0.7" top="0.75" bottom="0.75" header="0.3" footer="0.3"/>
  <pageSetup paperSize="9"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7F83"/>
  </sheetPr>
  <dimension ref="B2:AM69"/>
  <sheetViews>
    <sheetView zoomScale="80" zoomScaleNormal="80" workbookViewId="0">
      <pane xSplit="3" ySplit="5" topLeftCell="D6" activePane="bottomRight" state="frozen"/>
      <selection pane="topRight" activeCell="D1" sqref="D1"/>
      <selection pane="bottomLeft" activeCell="A5" sqref="A5"/>
      <selection pane="bottomRight" activeCell="AE58" sqref="AE58"/>
    </sheetView>
  </sheetViews>
  <sheetFormatPr defaultColWidth="9.140625" defaultRowHeight="12"/>
  <cols>
    <col min="1" max="1" width="1.7109375" style="6" customWidth="1"/>
    <col min="2" max="2" width="5.28515625" style="6" customWidth="1"/>
    <col min="3" max="3" width="41.5703125" style="6" customWidth="1"/>
    <col min="4" max="8" width="9.28515625" style="276" bestFit="1" customWidth="1"/>
    <col min="9" max="9" width="1.85546875" style="276" customWidth="1"/>
    <col min="10" max="14" width="10.28515625" style="276" bestFit="1" customWidth="1"/>
    <col min="15" max="15" width="9.28515625" style="276" bestFit="1" customWidth="1"/>
    <col min="16" max="16" width="9.28515625" style="276" customWidth="1"/>
    <col min="17" max="17" width="2.85546875" style="25" customWidth="1"/>
    <col min="18" max="21" width="9.28515625" style="276" bestFit="1" customWidth="1"/>
    <col min="22" max="26" width="10.28515625" style="276" bestFit="1" customWidth="1"/>
    <col min="27" max="28" width="9.42578125" style="276" bestFit="1" customWidth="1"/>
    <col min="29" max="16384" width="9.140625" style="6"/>
  </cols>
  <sheetData>
    <row r="2" spans="2:28" s="14" customFormat="1" ht="15" customHeight="1">
      <c r="D2" s="274"/>
      <c r="E2" s="274"/>
      <c r="F2" s="274"/>
      <c r="G2" s="274"/>
      <c r="H2" s="274"/>
      <c r="I2" s="274"/>
      <c r="J2" s="274"/>
      <c r="K2" s="274"/>
      <c r="L2" s="274"/>
      <c r="M2" s="274"/>
      <c r="N2" s="274"/>
      <c r="O2" s="274"/>
      <c r="P2" s="274"/>
      <c r="Q2" s="420"/>
      <c r="R2" s="274"/>
      <c r="S2" s="274"/>
      <c r="T2" s="274"/>
      <c r="U2" s="274"/>
      <c r="V2" s="274"/>
      <c r="W2" s="274"/>
      <c r="X2" s="274"/>
      <c r="Y2" s="274"/>
      <c r="Z2" s="274"/>
      <c r="AA2" s="274"/>
      <c r="AB2" s="274"/>
    </row>
    <row r="3" spans="2:28" s="14" customFormat="1" ht="15" customHeight="1">
      <c r="C3" s="115" t="s">
        <v>551</v>
      </c>
      <c r="D3" s="274"/>
      <c r="E3" s="274"/>
      <c r="F3" s="274"/>
      <c r="G3" s="274"/>
      <c r="H3" s="274"/>
      <c r="I3" s="274"/>
      <c r="J3" s="274"/>
      <c r="K3" s="274"/>
      <c r="L3" s="274"/>
      <c r="M3" s="274"/>
      <c r="N3" s="274"/>
      <c r="O3" s="274"/>
      <c r="P3" s="274"/>
      <c r="Q3" s="420"/>
      <c r="R3" s="274"/>
      <c r="S3" s="274"/>
      <c r="T3" s="274"/>
      <c r="U3" s="274"/>
      <c r="V3" s="274"/>
      <c r="W3" s="274"/>
      <c r="X3" s="274"/>
      <c r="Y3" s="274"/>
      <c r="Z3" s="274"/>
      <c r="AA3" s="274"/>
      <c r="AB3" s="274"/>
    </row>
    <row r="4" spans="2:28" s="14" customFormat="1" ht="15" customHeight="1">
      <c r="D4" s="274"/>
      <c r="E4" s="274"/>
      <c r="F4" s="274"/>
      <c r="G4" s="274"/>
      <c r="H4" s="274"/>
      <c r="I4" s="274"/>
      <c r="J4" s="274"/>
      <c r="K4" s="274"/>
      <c r="L4" s="274"/>
      <c r="M4" s="274"/>
      <c r="N4" s="274"/>
      <c r="O4" s="274"/>
      <c r="P4" s="274"/>
      <c r="Q4" s="420"/>
      <c r="R4" s="274"/>
      <c r="S4" s="274"/>
      <c r="T4" s="274"/>
      <c r="U4" s="274"/>
      <c r="V4" s="274"/>
      <c r="W4" s="274"/>
      <c r="X4" s="274"/>
      <c r="Y4" s="274"/>
      <c r="Z4" s="274"/>
      <c r="AA4" s="274"/>
      <c r="AB4" s="274"/>
    </row>
    <row r="5" spans="2:28" s="69" customFormat="1">
      <c r="C5" s="16"/>
      <c r="D5" s="16">
        <v>2008</v>
      </c>
      <c r="E5" s="16">
        <v>2009</v>
      </c>
      <c r="F5" s="16">
        <v>2010</v>
      </c>
      <c r="G5" s="16">
        <v>2011</v>
      </c>
      <c r="H5" s="16">
        <v>2012</v>
      </c>
      <c r="I5" s="16"/>
      <c r="J5" s="16">
        <v>2013</v>
      </c>
      <c r="K5" s="16">
        <v>2014</v>
      </c>
      <c r="L5" s="16">
        <v>2015</v>
      </c>
      <c r="M5" s="16">
        <v>2016</v>
      </c>
      <c r="N5" s="16">
        <v>2017</v>
      </c>
      <c r="O5" s="16">
        <v>2018</v>
      </c>
      <c r="P5" s="16">
        <v>2019</v>
      </c>
      <c r="Q5" s="152"/>
      <c r="R5" s="16" t="s">
        <v>347</v>
      </c>
      <c r="S5" s="16" t="s">
        <v>345</v>
      </c>
      <c r="T5" s="16" t="s">
        <v>343</v>
      </c>
      <c r="U5" s="16" t="s">
        <v>95</v>
      </c>
      <c r="V5" s="16" t="s">
        <v>97</v>
      </c>
      <c r="W5" s="16" t="s">
        <v>99</v>
      </c>
      <c r="X5" s="16" t="s">
        <v>101</v>
      </c>
      <c r="Y5" s="16" t="s">
        <v>103</v>
      </c>
      <c r="Z5" s="16" t="s">
        <v>106</v>
      </c>
      <c r="AA5" s="16" t="s">
        <v>653</v>
      </c>
      <c r="AB5" s="16" t="s">
        <v>795</v>
      </c>
    </row>
    <row r="6" spans="2:28">
      <c r="C6" s="74" t="s">
        <v>468</v>
      </c>
      <c r="D6" s="403" t="s">
        <v>739</v>
      </c>
      <c r="E6" s="403" t="s">
        <v>739</v>
      </c>
      <c r="F6" s="275"/>
      <c r="G6" s="275"/>
      <c r="H6" s="275"/>
      <c r="I6" s="275"/>
      <c r="J6" s="275" t="s">
        <v>750</v>
      </c>
      <c r="K6" s="275"/>
      <c r="L6" s="275"/>
      <c r="M6" s="275"/>
      <c r="N6" s="275"/>
      <c r="O6" s="275"/>
      <c r="P6" s="275"/>
      <c r="Q6" s="421"/>
      <c r="R6" s="275"/>
      <c r="S6" s="275"/>
      <c r="T6" s="275"/>
      <c r="U6" s="275" t="s">
        <v>750</v>
      </c>
      <c r="V6" s="275"/>
      <c r="W6" s="275"/>
      <c r="X6" s="275"/>
      <c r="Y6" s="275"/>
      <c r="Z6" s="275"/>
      <c r="AA6" s="275"/>
      <c r="AB6" s="275"/>
    </row>
    <row r="7" spans="2:28" ht="12" customHeight="1">
      <c r="B7" s="465" t="s">
        <v>549</v>
      </c>
      <c r="C7" s="39" t="s">
        <v>547</v>
      </c>
      <c r="D7" s="330">
        <f>'Balance sheet'!E39</f>
        <v>307129</v>
      </c>
      <c r="E7" s="330">
        <f>'Balance sheet'!F39</f>
        <v>201980</v>
      </c>
      <c r="F7" s="330">
        <f>'Balance sheet'!G39</f>
        <v>170568</v>
      </c>
      <c r="G7" s="330">
        <f>'Balance sheet'!H39</f>
        <v>154555</v>
      </c>
      <c r="H7" s="330">
        <f>'Balance sheet'!I39</f>
        <v>263295</v>
      </c>
      <c r="I7" s="330"/>
      <c r="J7" s="330">
        <f>'Balance sheet'!K39</f>
        <v>1230925</v>
      </c>
      <c r="K7" s="330">
        <f>'Balance sheet'!L39</f>
        <v>1073668</v>
      </c>
      <c r="L7" s="330">
        <f>'Balance sheet'!M39</f>
        <v>1062371</v>
      </c>
      <c r="M7" s="330">
        <f>'Balance sheet'!N39</f>
        <v>1040875</v>
      </c>
      <c r="N7" s="330">
        <f>'Balance sheet'!O39</f>
        <v>1005664</v>
      </c>
      <c r="O7" s="330">
        <f>'Balance sheet'!P39</f>
        <v>850766</v>
      </c>
      <c r="P7" s="330">
        <f>'Balance sheet'!Q39</f>
        <v>738113</v>
      </c>
      <c r="Q7" s="331"/>
      <c r="R7" s="330">
        <f>'Balance sheet'!S39</f>
        <v>177205</v>
      </c>
      <c r="S7" s="330">
        <f>'Balance sheet'!T39</f>
        <v>176830</v>
      </c>
      <c r="T7" s="330">
        <f>'Balance sheet'!U39</f>
        <v>182397</v>
      </c>
      <c r="U7" s="330">
        <f>'Balance sheet'!V39</f>
        <v>303009</v>
      </c>
      <c r="V7" s="330">
        <f>'Balance sheet'!W39</f>
        <v>1244021</v>
      </c>
      <c r="W7" s="330">
        <f>'Balance sheet'!X39</f>
        <v>1014800</v>
      </c>
      <c r="X7" s="330">
        <f>'Balance sheet'!Y39</f>
        <v>1058657</v>
      </c>
      <c r="Y7" s="330">
        <f>'Balance sheet'!Z39</f>
        <v>1019590</v>
      </c>
      <c r="Z7" s="330">
        <f>'Balance sheet'!AA39</f>
        <v>941343</v>
      </c>
      <c r="AA7" s="330">
        <f>'Balance sheet'!AB39</f>
        <v>863419</v>
      </c>
      <c r="AB7" s="330">
        <f>'Balance sheet'!AC39</f>
        <v>561967</v>
      </c>
    </row>
    <row r="8" spans="2:28">
      <c r="B8" s="465"/>
      <c r="C8" s="39" t="s">
        <v>548</v>
      </c>
      <c r="D8" s="330">
        <f>'Balance sheet'!E47</f>
        <v>66775</v>
      </c>
      <c r="E8" s="330">
        <f>'Balance sheet'!F47</f>
        <v>50203</v>
      </c>
      <c r="F8" s="330">
        <f>'Balance sheet'!G47</f>
        <v>36091</v>
      </c>
      <c r="G8" s="330">
        <f>'Balance sheet'!H47</f>
        <v>52383</v>
      </c>
      <c r="H8" s="330">
        <f>'Balance sheet'!I47</f>
        <v>69814</v>
      </c>
      <c r="I8" s="330"/>
      <c r="J8" s="330">
        <f>'Balance sheet'!K47</f>
        <v>206388</v>
      </c>
      <c r="K8" s="330">
        <f>'Balance sheet'!L47</f>
        <v>109975</v>
      </c>
      <c r="L8" s="330">
        <f>'Balance sheet'!M47</f>
        <v>103029</v>
      </c>
      <c r="M8" s="330">
        <f>'Balance sheet'!N47</f>
        <v>78681</v>
      </c>
      <c r="N8" s="330">
        <f>'Balance sheet'!O47</f>
        <v>69089</v>
      </c>
      <c r="O8" s="330">
        <f>'Balance sheet'!P47</f>
        <v>21183</v>
      </c>
      <c r="P8" s="330">
        <f>'Balance sheet'!Q47</f>
        <v>99098</v>
      </c>
      <c r="Q8" s="331"/>
      <c r="R8" s="330">
        <f>'Balance sheet'!S47</f>
        <v>42655</v>
      </c>
      <c r="S8" s="330">
        <f>'Balance sheet'!T47</f>
        <v>45139</v>
      </c>
      <c r="T8" s="330">
        <f>'Balance sheet'!U47</f>
        <v>56244</v>
      </c>
      <c r="U8" s="330">
        <f>'Balance sheet'!V47</f>
        <v>99390</v>
      </c>
      <c r="V8" s="330">
        <f>'Balance sheet'!W47</f>
        <v>124151</v>
      </c>
      <c r="W8" s="330">
        <f>'Balance sheet'!X47</f>
        <v>114718</v>
      </c>
      <c r="X8" s="330">
        <f>'Balance sheet'!Y47</f>
        <v>92955</v>
      </c>
      <c r="Y8" s="330">
        <f>'Balance sheet'!Z47</f>
        <v>74623</v>
      </c>
      <c r="Z8" s="330">
        <f>'Balance sheet'!AA47</f>
        <v>66322</v>
      </c>
      <c r="AA8" s="330">
        <f>'Balance sheet'!AB47</f>
        <v>21557</v>
      </c>
      <c r="AB8" s="330">
        <f>'Balance sheet'!AC47</f>
        <v>232628</v>
      </c>
    </row>
    <row r="9" spans="2:28">
      <c r="B9" s="465"/>
      <c r="C9" s="36" t="s">
        <v>735</v>
      </c>
      <c r="D9" s="364" t="s">
        <v>694</v>
      </c>
      <c r="E9" s="364" t="s">
        <v>694</v>
      </c>
      <c r="F9" s="364" t="s">
        <v>694</v>
      </c>
      <c r="G9" s="364" t="s">
        <v>694</v>
      </c>
      <c r="H9" s="364" t="s">
        <v>694</v>
      </c>
      <c r="I9" s="364"/>
      <c r="J9" s="364" t="s">
        <v>694</v>
      </c>
      <c r="K9" s="216" t="s">
        <v>694</v>
      </c>
      <c r="L9" s="216" t="s">
        <v>694</v>
      </c>
      <c r="M9" s="216" t="s">
        <v>694</v>
      </c>
      <c r="N9" s="216" t="s">
        <v>694</v>
      </c>
      <c r="O9" s="216" t="s">
        <v>694</v>
      </c>
      <c r="P9" s="401">
        <f>'Balance sheet'!Q40</f>
        <v>32987</v>
      </c>
      <c r="Q9" s="414"/>
      <c r="R9" s="216" t="s">
        <v>694</v>
      </c>
      <c r="S9" s="216" t="s">
        <v>694</v>
      </c>
      <c r="T9" s="216" t="s">
        <v>694</v>
      </c>
      <c r="U9" s="216" t="s">
        <v>694</v>
      </c>
      <c r="V9" s="216" t="s">
        <v>694</v>
      </c>
      <c r="W9" s="216" t="s">
        <v>694</v>
      </c>
      <c r="X9" s="216" t="s">
        <v>694</v>
      </c>
      <c r="Y9" s="216" t="s">
        <v>694</v>
      </c>
      <c r="Z9" s="216" t="s">
        <v>694</v>
      </c>
      <c r="AA9" s="330">
        <f>'Balance sheet'!AB40</f>
        <v>31566</v>
      </c>
      <c r="AB9" s="330">
        <f>'Balance sheet'!AC40</f>
        <v>29489</v>
      </c>
    </row>
    <row r="10" spans="2:28">
      <c r="B10" s="465"/>
      <c r="C10" s="36" t="s">
        <v>736</v>
      </c>
      <c r="D10" s="364" t="s">
        <v>694</v>
      </c>
      <c r="E10" s="364" t="s">
        <v>694</v>
      </c>
      <c r="F10" s="364" t="s">
        <v>694</v>
      </c>
      <c r="G10" s="364" t="s">
        <v>694</v>
      </c>
      <c r="H10" s="364" t="s">
        <v>694</v>
      </c>
      <c r="I10" s="364"/>
      <c r="J10" s="364" t="s">
        <v>694</v>
      </c>
      <c r="K10" s="216" t="s">
        <v>694</v>
      </c>
      <c r="L10" s="216" t="s">
        <v>694</v>
      </c>
      <c r="M10" s="216" t="s">
        <v>694</v>
      </c>
      <c r="N10" s="216" t="s">
        <v>694</v>
      </c>
      <c r="O10" s="216" t="s">
        <v>694</v>
      </c>
      <c r="P10" s="401">
        <f>'Balance sheet'!Q49</f>
        <v>1194</v>
      </c>
      <c r="Q10" s="414"/>
      <c r="R10" s="216" t="s">
        <v>694</v>
      </c>
      <c r="S10" s="216" t="s">
        <v>694</v>
      </c>
      <c r="T10" s="216" t="s">
        <v>694</v>
      </c>
      <c r="U10" s="216" t="s">
        <v>694</v>
      </c>
      <c r="V10" s="216" t="s">
        <v>694</v>
      </c>
      <c r="W10" s="216" t="s">
        <v>694</v>
      </c>
      <c r="X10" s="216" t="s">
        <v>694</v>
      </c>
      <c r="Y10" s="216" t="s">
        <v>694</v>
      </c>
      <c r="Z10" s="216" t="s">
        <v>694</v>
      </c>
      <c r="AA10" s="330">
        <f>'Balance sheet'!AB49</f>
        <v>847</v>
      </c>
      <c r="AB10" s="330">
        <f>'Balance sheet'!AC49</f>
        <v>1409</v>
      </c>
    </row>
    <row r="11" spans="2:28">
      <c r="B11" s="465"/>
      <c r="C11" s="74" t="s">
        <v>161</v>
      </c>
      <c r="D11" s="332">
        <f>D8+D7</f>
        <v>373904</v>
      </c>
      <c r="E11" s="332">
        <f t="shared" ref="E11:Z11" si="0">E8+E7</f>
        <v>252183</v>
      </c>
      <c r="F11" s="332">
        <f t="shared" si="0"/>
        <v>206659</v>
      </c>
      <c r="G11" s="332">
        <f t="shared" si="0"/>
        <v>206938</v>
      </c>
      <c r="H11" s="332">
        <f t="shared" si="0"/>
        <v>333109</v>
      </c>
      <c r="I11" s="332"/>
      <c r="J11" s="332">
        <f t="shared" si="0"/>
        <v>1437313</v>
      </c>
      <c r="K11" s="332">
        <f t="shared" si="0"/>
        <v>1183643</v>
      </c>
      <c r="L11" s="332">
        <f t="shared" si="0"/>
        <v>1165400</v>
      </c>
      <c r="M11" s="332">
        <f t="shared" si="0"/>
        <v>1119556</v>
      </c>
      <c r="N11" s="332">
        <f t="shared" si="0"/>
        <v>1074753</v>
      </c>
      <c r="O11" s="332">
        <f t="shared" si="0"/>
        <v>871949</v>
      </c>
      <c r="P11" s="332">
        <f>SUM(P7:P10)</f>
        <v>871392</v>
      </c>
      <c r="Q11" s="333"/>
      <c r="R11" s="332">
        <f t="shared" si="0"/>
        <v>219860</v>
      </c>
      <c r="S11" s="332">
        <f t="shared" si="0"/>
        <v>221969</v>
      </c>
      <c r="T11" s="332">
        <f t="shared" si="0"/>
        <v>238641</v>
      </c>
      <c r="U11" s="332">
        <f t="shared" si="0"/>
        <v>402399</v>
      </c>
      <c r="V11" s="332">
        <f t="shared" si="0"/>
        <v>1368172</v>
      </c>
      <c r="W11" s="332">
        <f t="shared" si="0"/>
        <v>1129518</v>
      </c>
      <c r="X11" s="332">
        <f t="shared" si="0"/>
        <v>1151612</v>
      </c>
      <c r="Y11" s="332">
        <f t="shared" si="0"/>
        <v>1094213</v>
      </c>
      <c r="Z11" s="332">
        <f t="shared" si="0"/>
        <v>1007665</v>
      </c>
      <c r="AA11" s="332">
        <f>SUM(AA7:AA10)</f>
        <v>917389</v>
      </c>
      <c r="AB11" s="332">
        <f>SUM(AB7:AB10)</f>
        <v>825493</v>
      </c>
    </row>
    <row r="12" spans="2:28">
      <c r="B12" s="465"/>
      <c r="C12" s="39" t="s">
        <v>463</v>
      </c>
      <c r="D12" s="330"/>
      <c r="E12" s="330"/>
      <c r="F12" s="330"/>
      <c r="G12" s="330"/>
      <c r="H12" s="330"/>
      <c r="I12" s="330"/>
      <c r="J12" s="330"/>
      <c r="K12" s="330"/>
      <c r="L12" s="330"/>
      <c r="M12" s="330"/>
      <c r="N12" s="330"/>
      <c r="O12" s="330"/>
      <c r="P12" s="330"/>
      <c r="Q12" s="331"/>
      <c r="R12" s="330"/>
      <c r="S12" s="330"/>
      <c r="T12" s="330"/>
      <c r="U12" s="330"/>
      <c r="V12" s="330"/>
      <c r="W12" s="330"/>
      <c r="X12" s="330"/>
      <c r="Y12" s="330"/>
      <c r="Z12" s="381"/>
      <c r="AA12" s="330"/>
      <c r="AB12" s="330"/>
    </row>
    <row r="13" spans="2:28">
      <c r="B13" s="465"/>
      <c r="C13" s="39" t="s">
        <v>737</v>
      </c>
      <c r="D13" s="330">
        <f>'Balance sheet'!E14-'Balance sheet'!E41</f>
        <v>0</v>
      </c>
      <c r="E13" s="330">
        <f>'Balance sheet'!F14-'Balance sheet'!F41</f>
        <v>0</v>
      </c>
      <c r="F13" s="330">
        <f>'Balance sheet'!G14-'Balance sheet'!G41</f>
        <v>0</v>
      </c>
      <c r="G13" s="330">
        <f>'Balance sheet'!H14-'Balance sheet'!H41</f>
        <v>0</v>
      </c>
      <c r="H13" s="330">
        <f>'Balance sheet'!I14-'Balance sheet'!I41</f>
        <v>-1999</v>
      </c>
      <c r="I13" s="330"/>
      <c r="J13" s="330">
        <f>'Balance sheet'!K14-'Balance sheet'!K41</f>
        <v>-26069</v>
      </c>
      <c r="K13" s="330">
        <f>'Balance sheet'!L14-'Balance sheet'!L41</f>
        <v>-102840</v>
      </c>
      <c r="L13" s="330">
        <f>'Balance sheet'!M14-'Balance sheet'!M41</f>
        <v>-5360</v>
      </c>
      <c r="M13" s="330">
        <f>'Balance sheet'!N14-'Balance sheet'!N41</f>
        <v>35529</v>
      </c>
      <c r="N13" s="330">
        <f>'Balance sheet'!O14-'Balance sheet'!O41</f>
        <v>58840</v>
      </c>
      <c r="O13" s="330">
        <f>'Balance sheet'!P14-'Balance sheet'!P41</f>
        <v>0</v>
      </c>
      <c r="P13" s="216" t="s">
        <v>694</v>
      </c>
      <c r="Q13" s="331"/>
      <c r="R13" s="330">
        <f>'Balance sheet'!S14-'Balance sheet'!S41</f>
        <v>0</v>
      </c>
      <c r="S13" s="330">
        <f>'Balance sheet'!T14-'Balance sheet'!T41</f>
        <v>0</v>
      </c>
      <c r="T13" s="330">
        <f>'Balance sheet'!U14-'Balance sheet'!U41</f>
        <v>0</v>
      </c>
      <c r="U13" s="330">
        <f>'Balance sheet'!V14-'Balance sheet'!V41</f>
        <v>0</v>
      </c>
      <c r="V13" s="330">
        <f>'Balance sheet'!W14-'Balance sheet'!W41</f>
        <v>-31618</v>
      </c>
      <c r="W13" s="330">
        <f>'Balance sheet'!X14-'Balance sheet'!X41</f>
        <v>-103507</v>
      </c>
      <c r="X13" s="330">
        <f>'Balance sheet'!Y14-'Balance sheet'!Y41</f>
        <v>8876</v>
      </c>
      <c r="Y13" s="330">
        <f>'Balance sheet'!Z14-'Balance sheet'!Z41</f>
        <v>44800</v>
      </c>
      <c r="Z13" s="330">
        <f>'Balance sheet'!AA14-'Balance sheet'!AA41</f>
        <v>37383</v>
      </c>
      <c r="AA13" s="216" t="s">
        <v>694</v>
      </c>
      <c r="AB13" s="216" t="s">
        <v>694</v>
      </c>
    </row>
    <row r="14" spans="2:28">
      <c r="B14" s="465"/>
      <c r="C14" s="39" t="s">
        <v>738</v>
      </c>
      <c r="D14" s="330">
        <f>'Balance sheet'!E18</f>
        <v>0</v>
      </c>
      <c r="E14" s="330">
        <f>'Balance sheet'!F18</f>
        <v>0</v>
      </c>
      <c r="F14" s="330">
        <f>'Balance sheet'!G18</f>
        <v>0</v>
      </c>
      <c r="G14" s="330">
        <f>'Balance sheet'!H18</f>
        <v>0</v>
      </c>
      <c r="H14" s="330">
        <f>'Balance sheet'!I18</f>
        <v>0</v>
      </c>
      <c r="I14" s="330"/>
      <c r="J14" s="330">
        <f>'Balance sheet'!K18</f>
        <v>0</v>
      </c>
      <c r="K14" s="330">
        <f>'Balance sheet'!L18</f>
        <v>0</v>
      </c>
      <c r="L14" s="330">
        <f>'Balance sheet'!M18</f>
        <v>0</v>
      </c>
      <c r="M14" s="330">
        <f>'Balance sheet'!N18</f>
        <v>17428</v>
      </c>
      <c r="N14" s="330">
        <f>'Balance sheet'!O18</f>
        <v>19546</v>
      </c>
      <c r="O14" s="330">
        <f>'Balance sheet'!P18</f>
        <v>0</v>
      </c>
      <c r="P14" s="216" t="s">
        <v>694</v>
      </c>
      <c r="Q14" s="331"/>
      <c r="R14" s="330">
        <f>'Balance sheet'!S18</f>
        <v>0</v>
      </c>
      <c r="S14" s="330">
        <f>'Balance sheet'!T18</f>
        <v>0</v>
      </c>
      <c r="T14" s="330">
        <f>'Balance sheet'!U18</f>
        <v>0</v>
      </c>
      <c r="U14" s="330">
        <f>'Balance sheet'!V18</f>
        <v>0</v>
      </c>
      <c r="V14" s="330">
        <f>'Balance sheet'!W18</f>
        <v>0</v>
      </c>
      <c r="W14" s="330">
        <f>'Balance sheet'!X18</f>
        <v>0</v>
      </c>
      <c r="X14" s="330">
        <f>'Balance sheet'!Y18</f>
        <v>15795</v>
      </c>
      <c r="Y14" s="330">
        <f>'Balance sheet'!Z18</f>
        <v>18461</v>
      </c>
      <c r="Z14" s="330">
        <f>'Balance sheet'!AA18</f>
        <v>17017</v>
      </c>
      <c r="AA14" s="216" t="s">
        <v>694</v>
      </c>
      <c r="AB14" s="216" t="s">
        <v>694</v>
      </c>
    </row>
    <row r="15" spans="2:28">
      <c r="B15" s="465"/>
      <c r="C15" s="74" t="s">
        <v>686</v>
      </c>
      <c r="D15" s="332">
        <f t="shared" ref="D15:Y15" si="1">SUM(D7:D8)-SUM(D13:D14)</f>
        <v>373904</v>
      </c>
      <c r="E15" s="332">
        <f t="shared" si="1"/>
        <v>252183</v>
      </c>
      <c r="F15" s="332">
        <f t="shared" si="1"/>
        <v>206659</v>
      </c>
      <c r="G15" s="332">
        <f t="shared" si="1"/>
        <v>206938</v>
      </c>
      <c r="H15" s="332">
        <f t="shared" si="1"/>
        <v>335108</v>
      </c>
      <c r="I15" s="332"/>
      <c r="J15" s="332">
        <f t="shared" si="1"/>
        <v>1463382</v>
      </c>
      <c r="K15" s="332">
        <f t="shared" si="1"/>
        <v>1286483</v>
      </c>
      <c r="L15" s="332">
        <f t="shared" si="1"/>
        <v>1170760</v>
      </c>
      <c r="M15" s="332">
        <f t="shared" si="1"/>
        <v>1066599</v>
      </c>
      <c r="N15" s="332">
        <f t="shared" si="1"/>
        <v>996367</v>
      </c>
      <c r="O15" s="332">
        <f t="shared" si="1"/>
        <v>871949</v>
      </c>
      <c r="P15" s="332">
        <f>P11</f>
        <v>871392</v>
      </c>
      <c r="Q15" s="333"/>
      <c r="R15" s="332">
        <f t="shared" si="1"/>
        <v>219860</v>
      </c>
      <c r="S15" s="332">
        <f t="shared" si="1"/>
        <v>221969</v>
      </c>
      <c r="T15" s="332">
        <f t="shared" si="1"/>
        <v>238641</v>
      </c>
      <c r="U15" s="332">
        <f t="shared" si="1"/>
        <v>402399</v>
      </c>
      <c r="V15" s="332">
        <f t="shared" si="1"/>
        <v>1399790</v>
      </c>
      <c r="W15" s="332">
        <f t="shared" si="1"/>
        <v>1233025</v>
      </c>
      <c r="X15" s="332">
        <f t="shared" si="1"/>
        <v>1126941</v>
      </c>
      <c r="Y15" s="332">
        <f t="shared" si="1"/>
        <v>1030952</v>
      </c>
      <c r="Z15" s="332">
        <f>SUM(Z7:Z8)-SUM(Z13:Z14)</f>
        <v>953265</v>
      </c>
      <c r="AA15" s="332">
        <f>SUM(AA7:AA10)-SUM(AA13:AA14)</f>
        <v>917389</v>
      </c>
      <c r="AB15" s="332">
        <f>SUM(AB7:AB10)-SUM(AB13:AB14)</f>
        <v>825493</v>
      </c>
    </row>
    <row r="16" spans="2:28">
      <c r="B16" s="465"/>
      <c r="C16" s="39" t="s">
        <v>463</v>
      </c>
      <c r="D16" s="330"/>
      <c r="E16" s="330"/>
      <c r="F16" s="330"/>
      <c r="G16" s="330"/>
      <c r="H16" s="330"/>
      <c r="I16" s="330"/>
      <c r="J16" s="330"/>
      <c r="K16" s="330"/>
      <c r="L16" s="330"/>
      <c r="M16" s="330"/>
      <c r="N16" s="330"/>
      <c r="O16" s="330"/>
      <c r="P16" s="330"/>
      <c r="Q16" s="331"/>
      <c r="R16" s="330"/>
      <c r="S16" s="330"/>
      <c r="T16" s="330"/>
      <c r="U16" s="330"/>
      <c r="V16" s="330"/>
      <c r="W16" s="330"/>
      <c r="X16" s="330"/>
      <c r="Y16" s="330"/>
      <c r="Z16" s="381"/>
      <c r="AA16" s="330"/>
      <c r="AB16" s="330"/>
    </row>
    <row r="17" spans="2:28">
      <c r="B17" s="465"/>
      <c r="C17" s="39" t="s">
        <v>732</v>
      </c>
      <c r="D17" s="330">
        <f>'Balance sheet'!E22+'Balance sheet'!E21</f>
        <v>102701</v>
      </c>
      <c r="E17" s="330">
        <f>'Balance sheet'!F22+'Balance sheet'!F21</f>
        <v>48093</v>
      </c>
      <c r="F17" s="330">
        <f>'Balance sheet'!G22+'Balance sheet'!G21</f>
        <v>66728</v>
      </c>
      <c r="G17" s="330">
        <f>'Balance sheet'!H22+'Balance sheet'!H21</f>
        <v>140952</v>
      </c>
      <c r="H17" s="330">
        <f>'Balance sheet'!I22+'Balance sheet'!I21</f>
        <v>103498</v>
      </c>
      <c r="I17" s="330">
        <f>'Balance sheet'!J22+'Balance sheet'!J21</f>
        <v>0</v>
      </c>
      <c r="J17" s="330">
        <f>'Balance sheet'!K22+'Balance sheet'!K21</f>
        <v>114208</v>
      </c>
      <c r="K17" s="330">
        <f>'Balance sheet'!L22+'Balance sheet'!L21</f>
        <v>78808</v>
      </c>
      <c r="L17" s="330">
        <f>'Balance sheet'!M22+'Balance sheet'!M21</f>
        <v>123135</v>
      </c>
      <c r="M17" s="330">
        <f>'Balance sheet'!N22+'Balance sheet'!N21</f>
        <v>119279</v>
      </c>
      <c r="N17" s="330">
        <f>'Balance sheet'!O22+'Balance sheet'!O21</f>
        <v>130434</v>
      </c>
      <c r="O17" s="330">
        <f>'Balance sheet'!P22+'Balance sheet'!P21</f>
        <v>91613</v>
      </c>
      <c r="P17" s="330">
        <f>'Balance sheet'!Q22+'Balance sheet'!Q21</f>
        <v>124353</v>
      </c>
      <c r="Q17" s="331"/>
      <c r="R17" s="330">
        <f>'Balance sheet'!S22+'Balance sheet'!S21</f>
        <v>56667.172669383261</v>
      </c>
      <c r="S17" s="330">
        <f>'Balance sheet'!T22+'Balance sheet'!T21</f>
        <v>155499</v>
      </c>
      <c r="T17" s="330">
        <f>'Balance sheet'!U22+'Balance sheet'!U21</f>
        <v>204824</v>
      </c>
      <c r="U17" s="330">
        <f>'Balance sheet'!V22+'Balance sheet'!V21</f>
        <v>91596</v>
      </c>
      <c r="V17" s="330">
        <f>'Balance sheet'!W22+'Balance sheet'!W21</f>
        <v>115488</v>
      </c>
      <c r="W17" s="330">
        <f>'Balance sheet'!X22+'Balance sheet'!X21</f>
        <v>117373</v>
      </c>
      <c r="X17" s="330">
        <f>'Balance sheet'!Y22+'Balance sheet'!Y21</f>
        <v>119200</v>
      </c>
      <c r="Y17" s="330">
        <f>'Balance sheet'!Z22+'Balance sheet'!Z21</f>
        <v>115945</v>
      </c>
      <c r="Z17" s="330">
        <f>'Balance sheet'!AA22+'Balance sheet'!AA21</f>
        <v>125851</v>
      </c>
      <c r="AA17" s="330">
        <f>'Balance sheet'!AB22+'Balance sheet'!AB21</f>
        <v>139376</v>
      </c>
      <c r="AB17" s="330">
        <f>'Balance sheet'!AC22+'Balance sheet'!AC21</f>
        <v>149643</v>
      </c>
    </row>
    <row r="18" spans="2:28">
      <c r="B18" s="465"/>
      <c r="C18" s="74" t="s">
        <v>162</v>
      </c>
      <c r="D18" s="332">
        <f>D15-D17</f>
        <v>271203</v>
      </c>
      <c r="E18" s="332">
        <f t="shared" ref="E18:Z18" si="2">E15-E17</f>
        <v>204090</v>
      </c>
      <c r="F18" s="332">
        <f t="shared" si="2"/>
        <v>139931</v>
      </c>
      <c r="G18" s="332">
        <f t="shared" si="2"/>
        <v>65986</v>
      </c>
      <c r="H18" s="332">
        <f t="shared" si="2"/>
        <v>231610</v>
      </c>
      <c r="I18" s="332"/>
      <c r="J18" s="332">
        <f t="shared" si="2"/>
        <v>1349174</v>
      </c>
      <c r="K18" s="332">
        <f t="shared" si="2"/>
        <v>1207675</v>
      </c>
      <c r="L18" s="332">
        <f t="shared" si="2"/>
        <v>1047625</v>
      </c>
      <c r="M18" s="332">
        <f t="shared" si="2"/>
        <v>947320</v>
      </c>
      <c r="N18" s="332">
        <f t="shared" si="2"/>
        <v>865933</v>
      </c>
      <c r="O18" s="332">
        <f t="shared" si="2"/>
        <v>780336</v>
      </c>
      <c r="P18" s="332">
        <f>P15-P17</f>
        <v>747039</v>
      </c>
      <c r="Q18" s="333"/>
      <c r="R18" s="332">
        <f t="shared" si="2"/>
        <v>163192.82733061674</v>
      </c>
      <c r="S18" s="332">
        <f t="shared" si="2"/>
        <v>66470</v>
      </c>
      <c r="T18" s="332">
        <f t="shared" si="2"/>
        <v>33817</v>
      </c>
      <c r="U18" s="332">
        <f t="shared" si="2"/>
        <v>310803</v>
      </c>
      <c r="V18" s="332">
        <f t="shared" si="2"/>
        <v>1284302</v>
      </c>
      <c r="W18" s="332">
        <f t="shared" si="2"/>
        <v>1115652</v>
      </c>
      <c r="X18" s="332">
        <f t="shared" si="2"/>
        <v>1007741</v>
      </c>
      <c r="Y18" s="332">
        <f t="shared" si="2"/>
        <v>915007</v>
      </c>
      <c r="Z18" s="332">
        <f t="shared" si="2"/>
        <v>827414</v>
      </c>
      <c r="AA18" s="332">
        <f>AA15-AA17</f>
        <v>778013</v>
      </c>
      <c r="AB18" s="332">
        <f>AB15-AB17</f>
        <v>675850</v>
      </c>
    </row>
    <row r="19" spans="2:28" s="69" customFormat="1">
      <c r="C19" s="442"/>
      <c r="D19" s="382"/>
      <c r="E19" s="382"/>
      <c r="F19" s="382"/>
      <c r="G19" s="382"/>
      <c r="H19" s="382"/>
      <c r="I19" s="382"/>
      <c r="J19" s="382"/>
      <c r="K19" s="382"/>
      <c r="L19" s="382"/>
      <c r="M19" s="382"/>
      <c r="N19" s="382"/>
      <c r="O19" s="382"/>
      <c r="P19" s="382"/>
      <c r="Q19" s="422"/>
      <c r="R19" s="382"/>
      <c r="S19" s="382"/>
      <c r="T19" s="382"/>
      <c r="U19" s="382"/>
      <c r="V19" s="382"/>
      <c r="W19" s="382"/>
      <c r="X19" s="382"/>
      <c r="Y19" s="382"/>
      <c r="Z19" s="382"/>
      <c r="AA19" s="382"/>
      <c r="AB19" s="382"/>
    </row>
    <row r="20" spans="2:28">
      <c r="C20" s="39" t="s">
        <v>748</v>
      </c>
      <c r="D20" s="330">
        <f>'Non-IFRS financial measures'!D40</f>
        <v>303218</v>
      </c>
      <c r="E20" s="330">
        <f>'Non-IFRS financial measures'!E40</f>
        <v>130468</v>
      </c>
      <c r="F20" s="330">
        <f>'Non-IFRS financial measures'!F40</f>
        <v>206570</v>
      </c>
      <c r="G20" s="330">
        <f>'Non-IFRS financial measures'!G40</f>
        <v>282183</v>
      </c>
      <c r="H20" s="330">
        <f>'Non-IFRS financial measures'!H40</f>
        <v>287906.68248592829</v>
      </c>
      <c r="I20" s="330"/>
      <c r="J20" s="330">
        <f>'Non-IFRS financial measures'!I40</f>
        <v>197830</v>
      </c>
      <c r="K20" s="330">
        <f>'Non-IFRS financial measures'!K40</f>
        <v>375907</v>
      </c>
      <c r="L20" s="330">
        <f>'Non-IFRS financial measures'!L40</f>
        <v>290960</v>
      </c>
      <c r="M20" s="330">
        <f>'Non-IFRS financial measures'!M40</f>
        <v>224329</v>
      </c>
      <c r="N20" s="330">
        <f>'Non-IFRS financial measures'!N40</f>
        <v>201636</v>
      </c>
      <c r="O20" s="330">
        <f>'Non-IFRS financial measures'!O40</f>
        <v>217303</v>
      </c>
      <c r="P20" s="330">
        <f>'Non-IFRS financial measures'!P40</f>
        <v>226944</v>
      </c>
      <c r="Q20" s="331"/>
      <c r="R20" s="216" t="s">
        <v>694</v>
      </c>
      <c r="S20" s="330">
        <f>'Non-IFRS financial measures'!T40+'Non-IFRS financial measures'!S40</f>
        <v>271908</v>
      </c>
      <c r="T20" s="330">
        <f>'Non-IFRS financial measures'!V40+'Non-IFRS financial measures'!U40</f>
        <v>281763</v>
      </c>
      <c r="U20" s="216" t="s">
        <v>694</v>
      </c>
      <c r="V20" s="330">
        <f>'Non-IFRS financial measures'!AC40+'Non-IFRS financial measures'!Z40</f>
        <v>283422</v>
      </c>
      <c r="W20" s="330">
        <f>'Non-IFRS financial measures'!AE40+'Non-IFRS financial measures'!AD40</f>
        <v>339424</v>
      </c>
      <c r="X20" s="330">
        <f>'Non-IFRS financial measures'!AG40+'Non-IFRS financial measures'!AF40</f>
        <v>249065</v>
      </c>
      <c r="Y20" s="330">
        <f>'Non-IFRS financial measures'!AI40+'Non-IFRS financial measures'!AH40</f>
        <v>210075.92912010831</v>
      </c>
      <c r="Z20" s="330">
        <f>'Non-IFRS financial measures'!AK40+'Non-IFRS financial measures'!AJ40</f>
        <v>213085.73234485695</v>
      </c>
      <c r="AA20" s="330">
        <f>'Non-IFRS financial measures'!AM40+'Non-IFRS financial measures'!AL40</f>
        <v>224605.26765514305</v>
      </c>
      <c r="AB20" s="330">
        <f>'Non-IFRS financial measures'!AO6+'Non-IFRS financial measures'!AN6</f>
        <v>215756</v>
      </c>
    </row>
    <row r="21" spans="2:28">
      <c r="C21" s="39" t="s">
        <v>636</v>
      </c>
      <c r="D21" s="372">
        <f>D18/D20</f>
        <v>0.89441589879228811</v>
      </c>
      <c r="E21" s="372">
        <f t="shared" ref="E21:Z21" si="3">E18/E20</f>
        <v>1.5642916270656406</v>
      </c>
      <c r="F21" s="372">
        <f t="shared" si="3"/>
        <v>0.67740233334946987</v>
      </c>
      <c r="G21" s="372">
        <f t="shared" si="3"/>
        <v>0.23384115981473017</v>
      </c>
      <c r="H21" s="372">
        <f t="shared" si="3"/>
        <v>0.80446204999538407</v>
      </c>
      <c r="I21" s="372"/>
      <c r="J21" s="372">
        <f t="shared" si="3"/>
        <v>6.8198655411211648</v>
      </c>
      <c r="K21" s="372">
        <f t="shared" si="3"/>
        <v>3.2126962253961753</v>
      </c>
      <c r="L21" s="372">
        <f t="shared" si="3"/>
        <v>3.6005808358537257</v>
      </c>
      <c r="M21" s="372">
        <f t="shared" si="3"/>
        <v>4.2229047515033722</v>
      </c>
      <c r="N21" s="372">
        <f t="shared" si="3"/>
        <v>4.2945356979904385</v>
      </c>
      <c r="O21" s="372">
        <f t="shared" si="3"/>
        <v>3.5910042659328218</v>
      </c>
      <c r="P21" s="372">
        <f>P18/P20</f>
        <v>3.2917327622673436</v>
      </c>
      <c r="Q21" s="413"/>
      <c r="R21" s="216" t="s">
        <v>694</v>
      </c>
      <c r="S21" s="372">
        <f t="shared" si="3"/>
        <v>0.24445768421672037</v>
      </c>
      <c r="T21" s="372">
        <f t="shared" si="3"/>
        <v>0.12001930700624283</v>
      </c>
      <c r="U21" s="216" t="s">
        <v>694</v>
      </c>
      <c r="V21" s="372">
        <f t="shared" si="3"/>
        <v>4.5314125226693767</v>
      </c>
      <c r="W21" s="372">
        <f t="shared" si="3"/>
        <v>3.2868978033374185</v>
      </c>
      <c r="X21" s="372">
        <f t="shared" si="3"/>
        <v>4.046096400538012</v>
      </c>
      <c r="Y21" s="372">
        <f t="shared" si="3"/>
        <v>4.3556013477244031</v>
      </c>
      <c r="Z21" s="372">
        <f t="shared" si="3"/>
        <v>3.8830098613121455</v>
      </c>
      <c r="AA21" s="372">
        <f>AA18/AA20</f>
        <v>3.4639125258386829</v>
      </c>
      <c r="AB21" s="372">
        <f>AB18/AB20</f>
        <v>3.1324737203136879</v>
      </c>
    </row>
    <row r="22" spans="2:28">
      <c r="C22" s="39" t="s">
        <v>637</v>
      </c>
      <c r="D22" s="372">
        <f>D15/D20</f>
        <v>1.2331194058400228</v>
      </c>
      <c r="E22" s="372">
        <f t="shared" ref="E22:AA22" si="4">E15/E20</f>
        <v>1.9329107520618083</v>
      </c>
      <c r="F22" s="372">
        <f t="shared" si="4"/>
        <v>1.0004308466863534</v>
      </c>
      <c r="G22" s="372">
        <f t="shared" si="4"/>
        <v>0.7333467997717793</v>
      </c>
      <c r="H22" s="372">
        <f t="shared" si="4"/>
        <v>1.1639465854231388</v>
      </c>
      <c r="I22" s="372"/>
      <c r="J22" s="372">
        <f t="shared" si="4"/>
        <v>7.3971692867613612</v>
      </c>
      <c r="K22" s="372">
        <f t="shared" si="4"/>
        <v>3.4223438244033764</v>
      </c>
      <c r="L22" s="372">
        <f t="shared" si="4"/>
        <v>4.023783337915865</v>
      </c>
      <c r="M22" s="372">
        <f t="shared" si="4"/>
        <v>4.7546193314283931</v>
      </c>
      <c r="N22" s="372">
        <f t="shared" si="4"/>
        <v>4.9414142315856298</v>
      </c>
      <c r="O22" s="372">
        <f t="shared" si="4"/>
        <v>4.0125953162174479</v>
      </c>
      <c r="P22" s="372">
        <f t="shared" ref="P22" si="5">P15/P20</f>
        <v>3.8396785109983078</v>
      </c>
      <c r="Q22" s="413"/>
      <c r="R22" s="216" t="s">
        <v>694</v>
      </c>
      <c r="S22" s="372">
        <f t="shared" si="4"/>
        <v>0.81633861453138556</v>
      </c>
      <c r="T22" s="372">
        <f t="shared" si="4"/>
        <v>0.84695648470523099</v>
      </c>
      <c r="U22" s="216" t="s">
        <v>694</v>
      </c>
      <c r="V22" s="372">
        <f t="shared" si="4"/>
        <v>4.9388897121606652</v>
      </c>
      <c r="W22" s="372">
        <f t="shared" si="4"/>
        <v>3.6326983360045255</v>
      </c>
      <c r="X22" s="372">
        <f t="shared" si="4"/>
        <v>4.524686326862466</v>
      </c>
      <c r="Y22" s="372">
        <f t="shared" si="4"/>
        <v>4.9075208393369332</v>
      </c>
      <c r="Z22" s="372">
        <f t="shared" si="4"/>
        <v>4.4736219056526991</v>
      </c>
      <c r="AA22" s="372">
        <f t="shared" si="4"/>
        <v>4.0844500646732422</v>
      </c>
      <c r="AB22" s="372">
        <f>AB15/AB20</f>
        <v>3.8260488700198372</v>
      </c>
    </row>
    <row r="23" spans="2:28">
      <c r="C23" s="39"/>
      <c r="D23" s="380"/>
      <c r="E23" s="380"/>
      <c r="F23" s="380"/>
      <c r="G23" s="380"/>
      <c r="H23" s="380"/>
      <c r="I23" s="380"/>
      <c r="J23" s="380"/>
      <c r="K23" s="380"/>
      <c r="L23" s="380"/>
      <c r="M23" s="380"/>
      <c r="N23" s="380"/>
      <c r="O23" s="380"/>
      <c r="P23" s="380"/>
      <c r="Q23" s="387"/>
      <c r="R23" s="380"/>
      <c r="S23" s="380"/>
      <c r="T23" s="380"/>
      <c r="U23" s="380"/>
      <c r="V23" s="380"/>
      <c r="W23" s="380"/>
      <c r="X23" s="380"/>
      <c r="Y23" s="380"/>
      <c r="Z23" s="380"/>
      <c r="AA23" s="380"/>
      <c r="AB23" s="380"/>
    </row>
    <row r="24" spans="2:28">
      <c r="C24" s="39"/>
      <c r="D24" s="380"/>
      <c r="E24" s="380"/>
      <c r="F24" s="380"/>
      <c r="G24" s="380"/>
      <c r="H24" s="380"/>
      <c r="I24" s="380"/>
      <c r="J24" s="380"/>
      <c r="K24" s="380"/>
      <c r="L24" s="380"/>
      <c r="M24" s="380"/>
      <c r="N24" s="380"/>
      <c r="O24" s="380"/>
      <c r="P24" s="380"/>
      <c r="Q24" s="387"/>
      <c r="R24" s="380"/>
      <c r="S24" s="380"/>
      <c r="T24" s="380"/>
      <c r="U24" s="380"/>
      <c r="V24" s="380"/>
      <c r="W24" s="380"/>
      <c r="X24" s="380"/>
      <c r="Y24" s="380"/>
      <c r="Z24" s="380"/>
      <c r="AA24" s="380"/>
      <c r="AB24" s="380"/>
    </row>
    <row r="25" spans="2:28">
      <c r="C25" s="39"/>
      <c r="D25" s="380"/>
      <c r="E25" s="380"/>
      <c r="F25" s="380"/>
      <c r="G25" s="380"/>
      <c r="H25" s="380"/>
      <c r="I25" s="380"/>
      <c r="J25" s="380"/>
      <c r="K25" s="380"/>
      <c r="L25" s="380"/>
      <c r="M25" s="380"/>
      <c r="N25" s="380"/>
      <c r="O25" s="380"/>
      <c r="P25" s="380"/>
      <c r="Q25" s="387"/>
      <c r="R25" s="380"/>
      <c r="S25" s="380"/>
      <c r="T25" s="380"/>
      <c r="U25" s="380"/>
      <c r="V25" s="380"/>
      <c r="W25" s="380"/>
      <c r="X25" s="380"/>
      <c r="Y25" s="380"/>
      <c r="Z25" s="380"/>
      <c r="AA25" s="380"/>
      <c r="AB25" s="380"/>
    </row>
    <row r="26" spans="2:28">
      <c r="B26" s="474" t="s">
        <v>648</v>
      </c>
      <c r="C26" s="113" t="s">
        <v>76</v>
      </c>
      <c r="D26" s="330">
        <f>'Cash flow'!E53</f>
        <v>5936</v>
      </c>
      <c r="E26" s="330">
        <f>'Cash flow'!F53</f>
        <v>2986</v>
      </c>
      <c r="F26" s="330">
        <f>'Cash flow'!G53</f>
        <v>545</v>
      </c>
      <c r="G26" s="330">
        <f>'Cash flow'!H53</f>
        <v>2239</v>
      </c>
      <c r="H26" s="330">
        <f>'Cash flow'!I53</f>
        <v>2351</v>
      </c>
      <c r="I26" s="330"/>
      <c r="J26" s="330">
        <f>'Cash flow'!K53</f>
        <v>1198</v>
      </c>
      <c r="K26" s="330">
        <f>'Cash flow'!L53</f>
        <v>1308</v>
      </c>
      <c r="L26" s="330">
        <f>'Cash flow'!M53</f>
        <v>1528</v>
      </c>
      <c r="M26" s="330">
        <f>'Cash flow'!N53</f>
        <v>983</v>
      </c>
      <c r="N26" s="330">
        <f>'Cash flow'!O53</f>
        <v>1274</v>
      </c>
      <c r="O26" s="330">
        <f>'Cash flow'!P53</f>
        <v>1619</v>
      </c>
      <c r="P26" s="330">
        <f>'Cash flow'!Q53</f>
        <v>1570</v>
      </c>
      <c r="Q26" s="331"/>
      <c r="R26" s="330">
        <f>'Cash flow'!S53</f>
        <v>243</v>
      </c>
      <c r="S26" s="330">
        <f>'Cash flow'!U53</f>
        <v>201</v>
      </c>
      <c r="T26" s="330">
        <f>'Cash flow'!W53</f>
        <v>932</v>
      </c>
      <c r="U26" s="330">
        <f>'Cash flow'!Z53</f>
        <v>441</v>
      </c>
      <c r="V26" s="330">
        <f>'Cash flow'!AB53</f>
        <v>632</v>
      </c>
      <c r="W26" s="330">
        <f>'Cash flow'!AD53</f>
        <v>877</v>
      </c>
      <c r="X26" s="330">
        <f>'Cash flow'!AF53</f>
        <v>435</v>
      </c>
      <c r="Y26" s="330">
        <f>'Cash flow'!AH53</f>
        <v>554</v>
      </c>
      <c r="Z26" s="330">
        <f>'Cash flow'!AJ53</f>
        <v>773</v>
      </c>
      <c r="AA26" s="330">
        <f>'Cash flow'!AL53</f>
        <v>811</v>
      </c>
      <c r="AB26" s="330">
        <v>495</v>
      </c>
    </row>
    <row r="27" spans="2:28">
      <c r="B27" s="474"/>
      <c r="C27" s="113" t="s">
        <v>81</v>
      </c>
      <c r="D27" s="330">
        <f>'Cash flow'!E64</f>
        <v>-10132</v>
      </c>
      <c r="E27" s="330">
        <f>'Cash flow'!F64</f>
        <v>-21786</v>
      </c>
      <c r="F27" s="330">
        <f>'Cash flow'!G64</f>
        <v>-10912</v>
      </c>
      <c r="G27" s="330">
        <f>'Cash flow'!H64</f>
        <v>-16967</v>
      </c>
      <c r="H27" s="330">
        <f>'Cash flow'!I64</f>
        <v>-12335</v>
      </c>
      <c r="I27" s="330"/>
      <c r="J27" s="330">
        <f>'Cash flow'!K64</f>
        <v>-14962</v>
      </c>
      <c r="K27" s="330">
        <f>'Cash flow'!L64</f>
        <v>-92151</v>
      </c>
      <c r="L27" s="330">
        <f>'Cash flow'!M64</f>
        <v>-74406</v>
      </c>
      <c r="M27" s="330">
        <f>'Cash flow'!N64</f>
        <v>-70259</v>
      </c>
      <c r="N27" s="330">
        <f>'Cash flow'!O64</f>
        <v>-89094</v>
      </c>
      <c r="O27" s="330">
        <f>'Cash flow'!P64</f>
        <v>-82994</v>
      </c>
      <c r="P27" s="330">
        <f>'Cash flow'!Q64</f>
        <v>-78678</v>
      </c>
      <c r="Q27" s="331"/>
      <c r="R27" s="330">
        <f>'Cash flow'!S64</f>
        <v>-6041</v>
      </c>
      <c r="S27" s="330">
        <f>'Cash flow'!U64</f>
        <v>-10462</v>
      </c>
      <c r="T27" s="330">
        <f>'Cash flow'!W64</f>
        <v>-5652</v>
      </c>
      <c r="U27" s="330">
        <f>'Cash flow'!Z64</f>
        <v>-7931</v>
      </c>
      <c r="V27" s="330">
        <f>'Cash flow'!AB64</f>
        <v>-55610</v>
      </c>
      <c r="W27" s="330">
        <f>'Cash flow'!AD64</f>
        <v>-35929</v>
      </c>
      <c r="X27" s="330">
        <f>'Cash flow'!AF64</f>
        <v>-33494</v>
      </c>
      <c r="Y27" s="330">
        <f>'Cash flow'!AH64</f>
        <v>-45179</v>
      </c>
      <c r="Z27" s="330">
        <f>'Cash flow'!AJ64</f>
        <v>-43139</v>
      </c>
      <c r="AA27" s="330">
        <f>'Cash flow'!AL64</f>
        <v>-38106</v>
      </c>
      <c r="AB27" s="330">
        <f>-35801</f>
        <v>-35801</v>
      </c>
    </row>
    <row r="28" spans="2:28">
      <c r="B28" s="474"/>
      <c r="C28" s="204" t="s">
        <v>550</v>
      </c>
      <c r="D28" s="383">
        <f>D26+D27</f>
        <v>-4196</v>
      </c>
      <c r="E28" s="383">
        <f t="shared" ref="E28:AB28" si="6">E26+E27</f>
        <v>-18800</v>
      </c>
      <c r="F28" s="383">
        <f t="shared" si="6"/>
        <v>-10367</v>
      </c>
      <c r="G28" s="383">
        <f t="shared" si="6"/>
        <v>-14728</v>
      </c>
      <c r="H28" s="383">
        <f t="shared" si="6"/>
        <v>-9984</v>
      </c>
      <c r="I28" s="383"/>
      <c r="J28" s="383">
        <f t="shared" si="6"/>
        <v>-13764</v>
      </c>
      <c r="K28" s="383">
        <f t="shared" si="6"/>
        <v>-90843</v>
      </c>
      <c r="L28" s="383">
        <f t="shared" si="6"/>
        <v>-72878</v>
      </c>
      <c r="M28" s="383">
        <f t="shared" si="6"/>
        <v>-69276</v>
      </c>
      <c r="N28" s="383">
        <f t="shared" si="6"/>
        <v>-87820</v>
      </c>
      <c r="O28" s="383">
        <f t="shared" si="6"/>
        <v>-81375</v>
      </c>
      <c r="P28" s="383">
        <f t="shared" ref="P28" si="7">P26+P27</f>
        <v>-77108</v>
      </c>
      <c r="Q28" s="333"/>
      <c r="R28" s="383">
        <f t="shared" si="6"/>
        <v>-5798</v>
      </c>
      <c r="S28" s="383">
        <f t="shared" si="6"/>
        <v>-10261</v>
      </c>
      <c r="T28" s="383">
        <f t="shared" si="6"/>
        <v>-4720</v>
      </c>
      <c r="U28" s="383">
        <f t="shared" si="6"/>
        <v>-7490</v>
      </c>
      <c r="V28" s="383">
        <f t="shared" si="6"/>
        <v>-54978</v>
      </c>
      <c r="W28" s="383">
        <f t="shared" si="6"/>
        <v>-35052</v>
      </c>
      <c r="X28" s="383">
        <f t="shared" si="6"/>
        <v>-33059</v>
      </c>
      <c r="Y28" s="383">
        <f t="shared" si="6"/>
        <v>-44625</v>
      </c>
      <c r="Z28" s="383">
        <f t="shared" si="6"/>
        <v>-42366</v>
      </c>
      <c r="AA28" s="383">
        <f t="shared" si="6"/>
        <v>-37295</v>
      </c>
      <c r="AB28" s="383">
        <f t="shared" si="6"/>
        <v>-35306</v>
      </c>
    </row>
    <row r="29" spans="2:28">
      <c r="B29" s="474"/>
      <c r="C29" s="74" t="s">
        <v>82</v>
      </c>
      <c r="D29" s="377">
        <f>'Cash flow'!E65</f>
        <v>0</v>
      </c>
      <c r="E29" s="377">
        <f>'Cash flow'!F65</f>
        <v>0</v>
      </c>
      <c r="F29" s="377">
        <f>'Cash flow'!G65</f>
        <v>0</v>
      </c>
      <c r="G29" s="377">
        <f>'Cash flow'!H65</f>
        <v>0</v>
      </c>
      <c r="H29" s="377">
        <f>'Cash flow'!I65</f>
        <v>0</v>
      </c>
      <c r="I29" s="377"/>
      <c r="J29" s="377">
        <f>'Cash flow'!K65</f>
        <v>0</v>
      </c>
      <c r="K29" s="377">
        <f>'Cash flow'!L65</f>
        <v>0</v>
      </c>
      <c r="L29" s="377">
        <f>'Cash flow'!M65</f>
        <v>0</v>
      </c>
      <c r="M29" s="377">
        <f>'Cash flow'!N65</f>
        <v>11372</v>
      </c>
      <c r="N29" s="377">
        <f>'Cash flow'!O65</f>
        <v>20254</v>
      </c>
      <c r="O29" s="377">
        <f>'Cash flow'!P65</f>
        <v>43064</v>
      </c>
      <c r="P29" s="377">
        <f>'Cash flow'!Q65</f>
        <v>-211</v>
      </c>
      <c r="Q29" s="331"/>
      <c r="R29" s="377">
        <f>'Cash flow'!S65</f>
        <v>0</v>
      </c>
      <c r="S29" s="377">
        <f>'Cash flow'!U65</f>
        <v>0</v>
      </c>
      <c r="T29" s="377">
        <f>'Cash flow'!W65</f>
        <v>0</v>
      </c>
      <c r="U29" s="377">
        <f>'Cash flow'!Z65</f>
        <v>0</v>
      </c>
      <c r="V29" s="377">
        <f>'Cash flow'!AB65</f>
        <v>0</v>
      </c>
      <c r="W29" s="377">
        <f>'Cash flow'!AD65</f>
        <v>0</v>
      </c>
      <c r="X29" s="377">
        <f>'Cash flow'!AF65</f>
        <v>2667</v>
      </c>
      <c r="Y29" s="377">
        <f>'Cash flow'!AH65</f>
        <v>10302</v>
      </c>
      <c r="Z29" s="377">
        <f>'Cash flow'!AJ65</f>
        <v>9900</v>
      </c>
      <c r="AA29" s="377">
        <f>'Cash flow'!AL65</f>
        <v>36</v>
      </c>
      <c r="AB29" s="377">
        <f>-209</f>
        <v>-209</v>
      </c>
    </row>
    <row r="30" spans="2:28">
      <c r="B30" s="474"/>
      <c r="C30" s="113" t="s">
        <v>647</v>
      </c>
      <c r="D30" s="330">
        <f>D28+D29</f>
        <v>-4196</v>
      </c>
      <c r="E30" s="330">
        <f t="shared" ref="E30:Z30" si="8">E28+E29</f>
        <v>-18800</v>
      </c>
      <c r="F30" s="330">
        <f t="shared" si="8"/>
        <v>-10367</v>
      </c>
      <c r="G30" s="330">
        <f t="shared" si="8"/>
        <v>-14728</v>
      </c>
      <c r="H30" s="330">
        <f t="shared" si="8"/>
        <v>-9984</v>
      </c>
      <c r="I30" s="330"/>
      <c r="J30" s="330">
        <f t="shared" si="8"/>
        <v>-13764</v>
      </c>
      <c r="K30" s="330">
        <f t="shared" si="8"/>
        <v>-90843</v>
      </c>
      <c r="L30" s="330">
        <f t="shared" si="8"/>
        <v>-72878</v>
      </c>
      <c r="M30" s="330">
        <f t="shared" si="8"/>
        <v>-57904</v>
      </c>
      <c r="N30" s="330">
        <f t="shared" si="8"/>
        <v>-67566</v>
      </c>
      <c r="O30" s="330">
        <f t="shared" si="8"/>
        <v>-38311</v>
      </c>
      <c r="P30" s="330">
        <f t="shared" ref="P30" si="9">P28+P29</f>
        <v>-77319</v>
      </c>
      <c r="Q30" s="331"/>
      <c r="R30" s="330">
        <f t="shared" si="8"/>
        <v>-5798</v>
      </c>
      <c r="S30" s="330">
        <f t="shared" si="8"/>
        <v>-10261</v>
      </c>
      <c r="T30" s="330">
        <f t="shared" si="8"/>
        <v>-4720</v>
      </c>
      <c r="U30" s="330">
        <f t="shared" si="8"/>
        <v>-7490</v>
      </c>
      <c r="V30" s="330">
        <f t="shared" si="8"/>
        <v>-54978</v>
      </c>
      <c r="W30" s="330">
        <f t="shared" si="8"/>
        <v>-35052</v>
      </c>
      <c r="X30" s="330">
        <f t="shared" si="8"/>
        <v>-30392</v>
      </c>
      <c r="Y30" s="330">
        <f t="shared" si="8"/>
        <v>-34323</v>
      </c>
      <c r="Z30" s="330">
        <f t="shared" si="8"/>
        <v>-32466</v>
      </c>
      <c r="AA30" s="330">
        <f>AA28+AA29</f>
        <v>-37259</v>
      </c>
      <c r="AB30" s="330">
        <f>AB28+AB29</f>
        <v>-35515</v>
      </c>
    </row>
    <row r="31" spans="2:28">
      <c r="C31" s="113"/>
      <c r="D31" s="380"/>
      <c r="E31" s="380"/>
      <c r="F31" s="380"/>
      <c r="G31" s="380"/>
      <c r="H31" s="380"/>
      <c r="I31" s="380"/>
      <c r="J31" s="380"/>
      <c r="K31" s="380"/>
      <c r="L31" s="380"/>
      <c r="M31" s="380"/>
      <c r="N31" s="380"/>
      <c r="O31" s="380"/>
      <c r="P31" s="380"/>
      <c r="Q31" s="387"/>
      <c r="R31" s="380"/>
      <c r="S31" s="380"/>
      <c r="T31" s="380"/>
      <c r="U31" s="380"/>
      <c r="V31" s="380"/>
      <c r="W31" s="380"/>
      <c r="X31" s="380"/>
      <c r="Y31" s="380"/>
      <c r="Z31" s="383"/>
      <c r="AA31" s="383"/>
      <c r="AB31" s="383"/>
    </row>
    <row r="32" spans="2:28">
      <c r="C32" s="39"/>
      <c r="D32" s="380"/>
      <c r="E32" s="380"/>
      <c r="F32" s="380"/>
      <c r="G32" s="380"/>
      <c r="H32" s="380"/>
      <c r="I32" s="380"/>
      <c r="J32" s="380"/>
      <c r="K32" s="380"/>
      <c r="L32" s="380"/>
      <c r="M32" s="380"/>
      <c r="N32" s="380"/>
      <c r="O32" s="380"/>
      <c r="P32" s="380"/>
      <c r="Q32" s="387"/>
      <c r="R32" s="380"/>
      <c r="S32" s="380"/>
      <c r="T32" s="380"/>
      <c r="U32" s="380"/>
      <c r="V32" s="380"/>
      <c r="W32" s="380"/>
      <c r="X32" s="380"/>
      <c r="Y32" s="380"/>
      <c r="Z32" s="380"/>
      <c r="AA32" s="380"/>
      <c r="AB32" s="380"/>
    </row>
    <row r="33" spans="3:28">
      <c r="C33" s="74" t="s">
        <v>219</v>
      </c>
      <c r="D33" s="384"/>
      <c r="E33" s="384"/>
      <c r="F33" s="384"/>
      <c r="G33" s="384"/>
      <c r="H33" s="384"/>
      <c r="I33" s="384"/>
      <c r="J33" s="384"/>
      <c r="K33" s="384"/>
      <c r="L33" s="384"/>
      <c r="M33" s="384"/>
      <c r="N33" s="384"/>
      <c r="O33" s="384"/>
      <c r="P33" s="384"/>
      <c r="Q33" s="387"/>
      <c r="R33" s="384"/>
      <c r="S33" s="384"/>
      <c r="T33" s="384"/>
      <c r="U33" s="384"/>
      <c r="V33" s="384"/>
      <c r="W33" s="384"/>
      <c r="X33" s="384"/>
      <c r="Y33" s="384"/>
      <c r="Z33" s="384"/>
      <c r="AA33" s="384"/>
      <c r="AB33" s="384"/>
    </row>
    <row r="34" spans="3:28">
      <c r="C34" s="39" t="s">
        <v>690</v>
      </c>
      <c r="D34" s="330">
        <f>72191+57745+803+138720+1425+33696+349+1687+101+13963+908</f>
        <v>321588</v>
      </c>
      <c r="E34" s="330">
        <f>94903+27019+148+47353+1098+36967+1109+2564</f>
        <v>211161</v>
      </c>
      <c r="F34" s="330">
        <f>80056+20026+314+39632+4400+24295+826+3883+865+251+9</f>
        <v>174557</v>
      </c>
      <c r="G34" s="330">
        <f>108588+22921+1429+28041+743+16620+135</f>
        <v>178477</v>
      </c>
      <c r="H34" s="330">
        <f>207482+25650+58171+1558+841+88+2910</f>
        <v>296700</v>
      </c>
      <c r="I34" s="330"/>
      <c r="J34" s="330">
        <f>1151271+41000+8051+181530+2787+6424+3533</f>
        <v>1394596</v>
      </c>
      <c r="K34" s="330">
        <f>1056296+814+97+102369+2511+2+3</f>
        <v>1162092</v>
      </c>
      <c r="L34" s="330">
        <f>981489+628+115+98343+1429</f>
        <v>1082004</v>
      </c>
      <c r="M34" s="330">
        <f>91625+755+185+51908+252</f>
        <v>144725</v>
      </c>
      <c r="N34" s="330">
        <f>43000+43000+156+246+795</f>
        <v>87197</v>
      </c>
      <c r="O34" s="330">
        <f>97+3</f>
        <v>100</v>
      </c>
      <c r="P34" s="330">
        <v>72090</v>
      </c>
      <c r="Q34" s="331"/>
      <c r="R34" s="216" t="s">
        <v>694</v>
      </c>
      <c r="S34" s="216" t="s">
        <v>694</v>
      </c>
      <c r="T34" s="216" t="s">
        <v>694</v>
      </c>
      <c r="U34" s="216" t="s">
        <v>694</v>
      </c>
      <c r="V34" s="216" t="s">
        <v>694</v>
      </c>
      <c r="W34" s="216" t="s">
        <v>694</v>
      </c>
      <c r="X34" s="216" t="s">
        <v>694</v>
      </c>
      <c r="Y34" s="216" t="s">
        <v>694</v>
      </c>
      <c r="Z34" s="216" t="s">
        <v>694</v>
      </c>
      <c r="AA34" s="216" t="s">
        <v>694</v>
      </c>
      <c r="AB34" s="216" t="s">
        <v>694</v>
      </c>
    </row>
    <row r="35" spans="3:28">
      <c r="C35" s="39" t="s">
        <v>220</v>
      </c>
      <c r="D35" s="330">
        <v>0</v>
      </c>
      <c r="E35" s="330">
        <v>0</v>
      </c>
      <c r="F35" s="330"/>
      <c r="G35" s="330">
        <v>0</v>
      </c>
      <c r="H35" s="330">
        <v>0</v>
      </c>
      <c r="I35" s="330"/>
      <c r="J35" s="330">
        <v>0</v>
      </c>
      <c r="K35" s="330">
        <v>0</v>
      </c>
      <c r="L35" s="330">
        <f>68497+222</f>
        <v>68719</v>
      </c>
      <c r="M35" s="330">
        <f>938373+23493</f>
        <v>961866</v>
      </c>
      <c r="N35" s="330">
        <f>953308+23681</f>
        <v>976989</v>
      </c>
      <c r="O35" s="330">
        <f>842664+21045</f>
        <v>863709</v>
      </c>
      <c r="P35" s="330">
        <v>765121</v>
      </c>
      <c r="Q35" s="331"/>
      <c r="R35" s="216" t="s">
        <v>694</v>
      </c>
      <c r="S35" s="216" t="s">
        <v>694</v>
      </c>
      <c r="T35" s="216" t="s">
        <v>694</v>
      </c>
      <c r="U35" s="216" t="s">
        <v>694</v>
      </c>
      <c r="V35" s="216" t="s">
        <v>694</v>
      </c>
      <c r="W35" s="216" t="s">
        <v>694</v>
      </c>
      <c r="X35" s="216" t="s">
        <v>694</v>
      </c>
      <c r="Y35" s="216" t="s">
        <v>694</v>
      </c>
      <c r="Z35" s="216" t="s">
        <v>694</v>
      </c>
      <c r="AA35" s="216" t="s">
        <v>694</v>
      </c>
      <c r="AB35" s="216" t="s">
        <v>694</v>
      </c>
    </row>
    <row r="36" spans="3:28">
      <c r="C36" s="39" t="s">
        <v>221</v>
      </c>
      <c r="D36" s="330">
        <f>36245+15525+546</f>
        <v>52316</v>
      </c>
      <c r="E36" s="330">
        <f>31459+9510+53</f>
        <v>41022</v>
      </c>
      <c r="F36" s="330">
        <f>26140+5458+504</f>
        <v>32102</v>
      </c>
      <c r="G36" s="330">
        <f>21617+5895+949</f>
        <v>28461</v>
      </c>
      <c r="H36" s="330">
        <f>27253+8071+1085</f>
        <v>36409</v>
      </c>
      <c r="I36" s="330"/>
      <c r="J36" s="330">
        <f>29779+824+10997+1117</f>
        <v>42717</v>
      </c>
      <c r="K36" s="330">
        <f>15789+672+4426+664</f>
        <v>21551</v>
      </c>
      <c r="L36" s="330">
        <f>11058+584+2514+521</f>
        <v>14677</v>
      </c>
      <c r="M36" s="330">
        <f>9937+2523+505</f>
        <v>12965</v>
      </c>
      <c r="N36" s="330">
        <f>9356+840+371</f>
        <v>10567</v>
      </c>
      <c r="O36" s="330">
        <f>8005+135</f>
        <v>8140</v>
      </c>
      <c r="P36" s="339">
        <v>34181</v>
      </c>
      <c r="Q36" s="331"/>
      <c r="R36" s="216" t="s">
        <v>694</v>
      </c>
      <c r="S36" s="216" t="s">
        <v>694</v>
      </c>
      <c r="T36" s="216" t="s">
        <v>694</v>
      </c>
      <c r="U36" s="216" t="s">
        <v>694</v>
      </c>
      <c r="V36" s="216" t="s">
        <v>694</v>
      </c>
      <c r="W36" s="216" t="s">
        <v>694</v>
      </c>
      <c r="X36" s="216" t="s">
        <v>694</v>
      </c>
      <c r="Y36" s="216" t="s">
        <v>694</v>
      </c>
      <c r="Z36" s="216" t="s">
        <v>694</v>
      </c>
      <c r="AA36" s="216" t="s">
        <v>694</v>
      </c>
      <c r="AB36" s="216" t="s">
        <v>694</v>
      </c>
    </row>
    <row r="37" spans="3:28">
      <c r="D37" s="174"/>
      <c r="E37" s="174"/>
      <c r="F37" s="174"/>
      <c r="G37" s="174"/>
      <c r="H37" s="174"/>
      <c r="I37" s="174"/>
      <c r="J37" s="174"/>
      <c r="K37" s="174"/>
      <c r="L37" s="174"/>
      <c r="M37" s="174"/>
      <c r="N37" s="174"/>
      <c r="O37" s="174"/>
      <c r="P37" s="425"/>
      <c r="Q37" s="322"/>
      <c r="R37" s="174"/>
      <c r="S37" s="174"/>
      <c r="T37" s="174"/>
      <c r="U37" s="174"/>
      <c r="V37" s="174"/>
      <c r="W37" s="174"/>
      <c r="X37" s="174"/>
      <c r="Y37" s="174"/>
      <c r="Z37" s="174"/>
      <c r="AA37" s="212"/>
      <c r="AB37" s="212"/>
    </row>
    <row r="38" spans="3:28">
      <c r="C38" s="39" t="s">
        <v>222</v>
      </c>
      <c r="D38" s="330">
        <v>26216</v>
      </c>
      <c r="E38" s="330">
        <v>14152</v>
      </c>
      <c r="F38" s="330">
        <v>15649</v>
      </c>
      <c r="G38" s="330">
        <v>13935</v>
      </c>
      <c r="H38" s="330">
        <v>27018</v>
      </c>
      <c r="I38" s="330"/>
      <c r="J38" s="330">
        <v>220237</v>
      </c>
      <c r="K38" s="330">
        <v>127394</v>
      </c>
      <c r="L38" s="330">
        <v>78045</v>
      </c>
      <c r="M38" s="330">
        <v>263487</v>
      </c>
      <c r="N38" s="330">
        <v>277730</v>
      </c>
      <c r="O38" s="330">
        <v>229543</v>
      </c>
      <c r="P38" s="330">
        <v>354556</v>
      </c>
      <c r="Q38" s="331"/>
      <c r="R38" s="216" t="s">
        <v>694</v>
      </c>
      <c r="S38" s="330">
        <v>20207</v>
      </c>
      <c r="T38" s="330">
        <v>25206</v>
      </c>
      <c r="U38" s="330">
        <v>24585</v>
      </c>
      <c r="V38" s="330">
        <v>208796</v>
      </c>
      <c r="W38" s="330">
        <v>128172</v>
      </c>
      <c r="X38" s="330">
        <v>248462</v>
      </c>
      <c r="Y38" s="330">
        <v>270486</v>
      </c>
      <c r="Z38" s="330">
        <v>253901</v>
      </c>
      <c r="AA38" s="330">
        <v>276206</v>
      </c>
      <c r="AB38" s="330">
        <v>318235</v>
      </c>
    </row>
    <row r="39" spans="3:28">
      <c r="C39" s="39" t="s">
        <v>135</v>
      </c>
      <c r="D39" s="330">
        <v>184333</v>
      </c>
      <c r="E39" s="330">
        <v>115165</v>
      </c>
      <c r="F39" s="330">
        <v>143674</v>
      </c>
      <c r="G39" s="330">
        <v>144833</v>
      </c>
      <c r="H39" s="330">
        <v>279674</v>
      </c>
      <c r="I39" s="330"/>
      <c r="J39" s="330">
        <v>1206304</v>
      </c>
      <c r="K39" s="330">
        <v>1056249</v>
      </c>
      <c r="L39" s="330">
        <v>1087355</v>
      </c>
      <c r="M39" s="330">
        <v>856069</v>
      </c>
      <c r="N39" s="330">
        <v>797023</v>
      </c>
      <c r="O39" s="330">
        <v>642406</v>
      </c>
      <c r="P39" s="330">
        <v>516836</v>
      </c>
      <c r="Q39" s="331"/>
      <c r="R39" s="216" t="s">
        <v>694</v>
      </c>
      <c r="S39" s="174">
        <v>135438</v>
      </c>
      <c r="T39" s="330">
        <v>174082</v>
      </c>
      <c r="U39" s="330">
        <v>308177</v>
      </c>
      <c r="V39" s="330">
        <v>1156954</v>
      </c>
      <c r="W39" s="330">
        <v>1001346</v>
      </c>
      <c r="X39" s="330">
        <v>903150</v>
      </c>
      <c r="Y39" s="330">
        <v>823727</v>
      </c>
      <c r="Z39" s="330">
        <v>753764</v>
      </c>
      <c r="AA39" s="330">
        <v>641183</v>
      </c>
      <c r="AB39" s="330">
        <v>507258</v>
      </c>
    </row>
    <row r="40" spans="3:28">
      <c r="C40" s="39" t="s">
        <v>688</v>
      </c>
      <c r="D40" s="330">
        <v>160874</v>
      </c>
      <c r="E40" s="330">
        <v>120399</v>
      </c>
      <c r="F40" s="330">
        <v>45135</v>
      </c>
      <c r="G40" s="330">
        <v>48170</v>
      </c>
      <c r="H40" s="330">
        <v>26417</v>
      </c>
      <c r="I40" s="330"/>
      <c r="J40" s="330">
        <v>10772</v>
      </c>
      <c r="K40" s="330">
        <v>0</v>
      </c>
      <c r="L40" s="330">
        <v>0</v>
      </c>
      <c r="M40" s="330">
        <v>0</v>
      </c>
      <c r="N40" s="330">
        <v>0</v>
      </c>
      <c r="O40" s="330">
        <v>0</v>
      </c>
      <c r="P40" s="339">
        <v>0</v>
      </c>
      <c r="Q40" s="331"/>
      <c r="R40" s="216" t="s">
        <v>694</v>
      </c>
      <c r="S40" s="330">
        <v>66324</v>
      </c>
      <c r="T40" s="330">
        <v>39353</v>
      </c>
      <c r="U40" s="330">
        <v>69637</v>
      </c>
      <c r="V40" s="330">
        <v>2422</v>
      </c>
      <c r="W40" s="216" t="s">
        <v>694</v>
      </c>
      <c r="X40" s="216" t="s">
        <v>694</v>
      </c>
      <c r="Y40" s="216" t="s">
        <v>694</v>
      </c>
      <c r="Z40" s="216" t="s">
        <v>694</v>
      </c>
      <c r="AA40" s="216" t="s">
        <v>694</v>
      </c>
      <c r="AB40" s="216" t="s">
        <v>694</v>
      </c>
    </row>
    <row r="41" spans="3:28">
      <c r="C41" s="39" t="s">
        <v>689</v>
      </c>
      <c r="D41" s="330">
        <v>2481</v>
      </c>
      <c r="E41" s="330">
        <v>2467</v>
      </c>
      <c r="F41" s="330">
        <v>2201</v>
      </c>
      <c r="G41" s="380"/>
      <c r="H41" s="380"/>
      <c r="I41" s="380"/>
      <c r="J41" s="380"/>
      <c r="K41" s="380"/>
      <c r="L41" s="380"/>
      <c r="M41" s="380"/>
      <c r="N41" s="380"/>
      <c r="O41" s="380"/>
      <c r="P41" s="426"/>
      <c r="Q41" s="387"/>
      <c r="R41" s="216" t="s">
        <v>694</v>
      </c>
      <c r="S41" s="380"/>
      <c r="T41" s="380"/>
      <c r="U41" s="380"/>
      <c r="V41" s="380"/>
      <c r="W41" s="380"/>
      <c r="X41" s="380"/>
      <c r="Y41" s="380"/>
      <c r="Z41" s="380"/>
      <c r="AA41" s="380"/>
      <c r="AB41" s="380"/>
    </row>
    <row r="42" spans="3:28">
      <c r="C42" s="39" t="s">
        <v>687</v>
      </c>
      <c r="D42" s="385">
        <f>D39/D11</f>
        <v>0.49299552826393939</v>
      </c>
      <c r="E42" s="385">
        <f>E39/E11</f>
        <v>0.45667233715198885</v>
      </c>
      <c r="F42" s="385">
        <f>F39/F11</f>
        <v>0.69522256470804566</v>
      </c>
      <c r="G42" s="385">
        <f>G39/G11</f>
        <v>0.69988595618011196</v>
      </c>
      <c r="H42" s="385">
        <f>H39/H11</f>
        <v>0.83958704207931933</v>
      </c>
      <c r="I42" s="385"/>
      <c r="J42" s="385">
        <f t="shared" ref="J42:P42" si="10">J39/J11</f>
        <v>0.83927717901389609</v>
      </c>
      <c r="K42" s="385">
        <f t="shared" si="10"/>
        <v>0.89237126397063982</v>
      </c>
      <c r="L42" s="385">
        <f t="shared" si="10"/>
        <v>0.9330315771408958</v>
      </c>
      <c r="M42" s="385">
        <f t="shared" si="10"/>
        <v>0.76465045071439031</v>
      </c>
      <c r="N42" s="385">
        <f t="shared" si="10"/>
        <v>0.74158713676537769</v>
      </c>
      <c r="O42" s="385">
        <f t="shared" si="10"/>
        <v>0.73674721801389764</v>
      </c>
      <c r="P42" s="385">
        <f t="shared" si="10"/>
        <v>0.59311538320296719</v>
      </c>
      <c r="Q42" s="386"/>
      <c r="R42" s="216" t="s">
        <v>694</v>
      </c>
      <c r="S42" s="385">
        <f>S40/S11</f>
        <v>0.29879848086895017</v>
      </c>
      <c r="T42" s="385">
        <f>T39/T11</f>
        <v>0.72947230358572079</v>
      </c>
      <c r="U42" s="385">
        <f t="shared" ref="U42:AB42" si="11">U39/U11</f>
        <v>0.76584931871103057</v>
      </c>
      <c r="V42" s="385">
        <f t="shared" si="11"/>
        <v>0.84562028750771101</v>
      </c>
      <c r="W42" s="385">
        <f t="shared" si="11"/>
        <v>0.88652504873760307</v>
      </c>
      <c r="X42" s="385">
        <f t="shared" si="11"/>
        <v>0.78424851425653774</v>
      </c>
      <c r="Y42" s="385">
        <f t="shared" si="11"/>
        <v>0.75280315624106098</v>
      </c>
      <c r="Z42" s="385">
        <f t="shared" si="11"/>
        <v>0.74803034738727647</v>
      </c>
      <c r="AA42" s="385">
        <f t="shared" si="11"/>
        <v>0.69892161340500047</v>
      </c>
      <c r="AB42" s="385">
        <f t="shared" si="11"/>
        <v>0.61449097690713306</v>
      </c>
    </row>
    <row r="43" spans="3:28">
      <c r="D43" s="212"/>
      <c r="E43" s="212"/>
      <c r="F43" s="212"/>
      <c r="G43" s="212"/>
      <c r="H43" s="212"/>
      <c r="I43" s="212"/>
      <c r="J43" s="212"/>
      <c r="K43" s="212"/>
      <c r="L43" s="212"/>
      <c r="M43" s="212"/>
      <c r="N43" s="212"/>
      <c r="O43" s="212"/>
      <c r="P43" s="212"/>
      <c r="Q43" s="423"/>
      <c r="R43" s="212"/>
      <c r="S43" s="212"/>
      <c r="T43" s="212"/>
      <c r="U43" s="212"/>
      <c r="V43" s="212"/>
      <c r="W43" s="212"/>
      <c r="X43" s="212"/>
      <c r="Y43" s="212"/>
      <c r="Z43" s="212"/>
      <c r="AA43" s="212"/>
      <c r="AB43" s="212"/>
    </row>
    <row r="44" spans="3:28">
      <c r="D44" s="212"/>
      <c r="E44" s="212"/>
      <c r="F44" s="212"/>
      <c r="G44" s="212"/>
      <c r="H44" s="212"/>
      <c r="I44" s="212"/>
      <c r="J44" s="212"/>
      <c r="K44" s="212"/>
      <c r="L44" s="212"/>
      <c r="M44" s="212"/>
      <c r="N44" s="212"/>
      <c r="O44" s="212"/>
      <c r="P44" s="212"/>
      <c r="Q44" s="423"/>
      <c r="R44" s="212"/>
      <c r="S44" s="212"/>
      <c r="T44" s="212"/>
      <c r="U44" s="212"/>
      <c r="V44" s="212"/>
      <c r="W44" s="212"/>
      <c r="X44" s="212"/>
      <c r="Y44" s="212"/>
      <c r="Z44" s="212"/>
      <c r="AA44" s="212"/>
      <c r="AB44" s="212"/>
    </row>
    <row r="45" spans="3:28">
      <c r="C45" s="39" t="s">
        <v>693</v>
      </c>
      <c r="D45" s="372">
        <f>D20/-D30</f>
        <v>72.263584366062915</v>
      </c>
      <c r="E45" s="372">
        <f t="shared" ref="E45:AB45" si="12">E20/-E30</f>
        <v>6.9397872340425533</v>
      </c>
      <c r="F45" s="372">
        <f t="shared" si="12"/>
        <v>19.925725860904794</v>
      </c>
      <c r="G45" s="372">
        <f t="shared" si="12"/>
        <v>19.159627919608909</v>
      </c>
      <c r="H45" s="372">
        <f t="shared" si="12"/>
        <v>28.836807140016855</v>
      </c>
      <c r="I45" s="372"/>
      <c r="J45" s="372">
        <f t="shared" si="12"/>
        <v>14.373002034292357</v>
      </c>
      <c r="K45" s="372">
        <f t="shared" si="12"/>
        <v>4.137985315324241</v>
      </c>
      <c r="L45" s="372">
        <f t="shared" si="12"/>
        <v>3.9924256977414307</v>
      </c>
      <c r="M45" s="372">
        <f t="shared" si="12"/>
        <v>3.8741537717601546</v>
      </c>
      <c r="N45" s="372">
        <f t="shared" si="12"/>
        <v>2.9842820353432198</v>
      </c>
      <c r="O45" s="372">
        <f t="shared" si="12"/>
        <v>5.672078515308919</v>
      </c>
      <c r="P45" s="372">
        <f t="shared" si="12"/>
        <v>2.9351647072517753</v>
      </c>
      <c r="Q45" s="413"/>
      <c r="R45" s="216" t="s">
        <v>694</v>
      </c>
      <c r="S45" s="372">
        <f t="shared" si="12"/>
        <v>26.499171620699737</v>
      </c>
      <c r="T45" s="372">
        <f t="shared" si="12"/>
        <v>59.695550847457625</v>
      </c>
      <c r="U45" s="216" t="s">
        <v>694</v>
      </c>
      <c r="V45" s="372">
        <f t="shared" si="12"/>
        <v>5.1551893484666591</v>
      </c>
      <c r="W45" s="372">
        <f t="shared" si="12"/>
        <v>9.6834417436950808</v>
      </c>
      <c r="X45" s="372">
        <f t="shared" si="12"/>
        <v>8.1950842326928139</v>
      </c>
      <c r="Y45" s="372">
        <f t="shared" si="12"/>
        <v>6.1205584919764684</v>
      </c>
      <c r="Z45" s="372">
        <f t="shared" si="12"/>
        <v>6.5633503463579421</v>
      </c>
      <c r="AA45" s="372">
        <f t="shared" si="12"/>
        <v>6.0282151333944292</v>
      </c>
      <c r="AB45" s="372">
        <f t="shared" si="12"/>
        <v>6.0750668731521893</v>
      </c>
    </row>
    <row r="46" spans="3:28">
      <c r="C46" s="39" t="s">
        <v>649</v>
      </c>
      <c r="D46" s="385">
        <f>D50/D18</f>
        <v>0.95653809139279433</v>
      </c>
      <c r="E46" s="385">
        <f>E50/E18</f>
        <v>0.58490861874663136</v>
      </c>
      <c r="F46" s="385">
        <f>F50/F18</f>
        <v>1.1685830873787795</v>
      </c>
      <c r="G46" s="385">
        <f>G50/G18</f>
        <v>3.2308216894492769</v>
      </c>
      <c r="H46" s="385">
        <f>H50/H18</f>
        <v>1.0339449937394758</v>
      </c>
      <c r="I46" s="385"/>
      <c r="J46" s="385">
        <f t="shared" ref="J46:P46" si="13">J50/J18</f>
        <v>0.17538434627409066</v>
      </c>
      <c r="K46" s="385">
        <f t="shared" si="13"/>
        <v>0.20126606909971639</v>
      </c>
      <c r="L46" s="385">
        <f t="shared" si="13"/>
        <v>0.16572437656604225</v>
      </c>
      <c r="M46" s="385">
        <f t="shared" si="13"/>
        <v>0.13256547852901693</v>
      </c>
      <c r="N46" s="385">
        <f t="shared" si="13"/>
        <v>9.7986795745167346E-2</v>
      </c>
      <c r="O46" s="385">
        <f t="shared" si="13"/>
        <v>0.11706239363556212</v>
      </c>
      <c r="P46" s="385">
        <f t="shared" si="13"/>
        <v>0.14289615401605538</v>
      </c>
      <c r="Q46" s="386"/>
      <c r="R46" s="385">
        <f>R50/R18</f>
        <v>0.35219072394376655</v>
      </c>
      <c r="S46" s="385">
        <f>S50/S18</f>
        <v>1.5685121107266435</v>
      </c>
      <c r="T46" s="385">
        <f>T50/T18</f>
        <v>3.2755418872164888</v>
      </c>
      <c r="U46" s="385">
        <f t="shared" ref="U46:AB46" si="14">U50/U18</f>
        <v>0.45983468628037694</v>
      </c>
      <c r="V46" s="385">
        <f t="shared" si="14"/>
        <v>7.9492985294735974E-2</v>
      </c>
      <c r="W46" s="385">
        <f t="shared" si="14"/>
        <v>8.7864316112909763E-2</v>
      </c>
      <c r="X46" s="385">
        <f t="shared" si="14"/>
        <v>6.1696408104860274E-2</v>
      </c>
      <c r="Y46" s="385">
        <f t="shared" si="14"/>
        <v>3.6075133851435015E-2</v>
      </c>
      <c r="Z46" s="385">
        <f t="shared" si="14"/>
        <v>5.2023533563609024E-2</v>
      </c>
      <c r="AA46" s="385">
        <f t="shared" si="14"/>
        <v>5.3984959120220354E-2</v>
      </c>
      <c r="AB46" s="385">
        <f t="shared" si="14"/>
        <v>6.6828438262928169E-2</v>
      </c>
    </row>
    <row r="47" spans="3:28">
      <c r="C47" s="39" t="s">
        <v>650</v>
      </c>
      <c r="D47" s="385">
        <f>D54/D18</f>
        <v>0.91618086820573519</v>
      </c>
      <c r="E47" s="385">
        <f>E54/E18</f>
        <v>0.64292224018815225</v>
      </c>
      <c r="F47" s="385">
        <f>F54/F18</f>
        <v>1.3229162944594122</v>
      </c>
      <c r="G47" s="385">
        <f>G54/G18</f>
        <v>3.7358075955505714</v>
      </c>
      <c r="H47" s="385">
        <f>H54/H18</f>
        <v>1.056323129398558</v>
      </c>
      <c r="I47" s="385"/>
      <c r="J47" s="385">
        <f t="shared" ref="J47:P47" si="15">J54/J18</f>
        <v>0.17431406178891679</v>
      </c>
      <c r="K47" s="385">
        <f t="shared" si="15"/>
        <v>0.29534684414267082</v>
      </c>
      <c r="L47" s="385">
        <f t="shared" si="15"/>
        <v>0.23188259157618424</v>
      </c>
      <c r="M47" s="385">
        <f t="shared" si="15"/>
        <v>0.20574666334512975</v>
      </c>
      <c r="N47" s="385">
        <f t="shared" si="15"/>
        <v>0.20327785175065508</v>
      </c>
      <c r="O47" s="385">
        <f t="shared" si="15"/>
        <v>0.23763481372126879</v>
      </c>
      <c r="P47" s="385">
        <f t="shared" si="15"/>
        <v>0.25732123757929637</v>
      </c>
      <c r="Q47" s="387"/>
      <c r="R47" s="216" t="s">
        <v>694</v>
      </c>
      <c r="S47" s="216" t="s">
        <v>694</v>
      </c>
      <c r="T47" s="216" t="s">
        <v>694</v>
      </c>
      <c r="U47" s="216" t="s">
        <v>694</v>
      </c>
      <c r="V47" s="216" t="s">
        <v>694</v>
      </c>
      <c r="W47" s="216" t="s">
        <v>694</v>
      </c>
      <c r="X47" s="216" t="s">
        <v>694</v>
      </c>
      <c r="Y47" s="216" t="s">
        <v>694</v>
      </c>
      <c r="Z47" s="216" t="s">
        <v>694</v>
      </c>
      <c r="AA47" s="216" t="s">
        <v>694</v>
      </c>
      <c r="AB47" s="216" t="s">
        <v>694</v>
      </c>
    </row>
    <row r="48" spans="3:28">
      <c r="C48" s="26"/>
      <c r="D48" s="386"/>
      <c r="E48" s="386"/>
      <c r="F48" s="386"/>
      <c r="G48" s="386"/>
      <c r="H48" s="386"/>
      <c r="I48" s="386"/>
      <c r="J48" s="386"/>
      <c r="K48" s="386"/>
      <c r="L48" s="386"/>
      <c r="M48" s="386"/>
      <c r="N48" s="386"/>
      <c r="O48" s="386"/>
      <c r="P48" s="427"/>
      <c r="Q48" s="387"/>
      <c r="R48" s="387"/>
      <c r="S48" s="387"/>
      <c r="T48" s="387"/>
      <c r="U48" s="387"/>
      <c r="V48" s="387"/>
      <c r="W48" s="387"/>
      <c r="X48" s="387"/>
      <c r="Y48" s="387"/>
      <c r="Z48" s="387"/>
      <c r="AA48" s="387"/>
      <c r="AB48" s="387"/>
    </row>
    <row r="49" spans="3:39">
      <c r="C49" s="205" t="s">
        <v>468</v>
      </c>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row>
    <row r="50" spans="3:39">
      <c r="C50" s="74" t="s">
        <v>684</v>
      </c>
      <c r="D50" s="377">
        <f>D51+D52</f>
        <v>259416</v>
      </c>
      <c r="E50" s="377">
        <f t="shared" ref="E50:AB50" si="16">E51+E52</f>
        <v>119374</v>
      </c>
      <c r="F50" s="377">
        <f t="shared" si="16"/>
        <v>163521</v>
      </c>
      <c r="G50" s="377">
        <f t="shared" si="16"/>
        <v>213189</v>
      </c>
      <c r="H50" s="377">
        <f t="shared" si="16"/>
        <v>239472</v>
      </c>
      <c r="I50" s="377"/>
      <c r="J50" s="377">
        <f t="shared" si="16"/>
        <v>236624</v>
      </c>
      <c r="K50" s="377">
        <f t="shared" si="16"/>
        <v>243064</v>
      </c>
      <c r="L50" s="377">
        <f t="shared" si="16"/>
        <v>173617</v>
      </c>
      <c r="M50" s="377">
        <f t="shared" si="16"/>
        <v>125581.92912010831</v>
      </c>
      <c r="N50" s="377">
        <f t="shared" si="16"/>
        <v>84850</v>
      </c>
      <c r="O50" s="377">
        <f t="shared" si="16"/>
        <v>91348</v>
      </c>
      <c r="P50" s="377">
        <f>P51+P52</f>
        <v>106749</v>
      </c>
      <c r="Q50" s="331"/>
      <c r="R50" s="377">
        <f t="shared" si="16"/>
        <v>57475</v>
      </c>
      <c r="S50" s="377">
        <f t="shared" si="16"/>
        <v>104259</v>
      </c>
      <c r="T50" s="377">
        <f t="shared" si="16"/>
        <v>110769</v>
      </c>
      <c r="U50" s="377">
        <f t="shared" si="16"/>
        <v>142918</v>
      </c>
      <c r="V50" s="377">
        <f t="shared" si="16"/>
        <v>102093</v>
      </c>
      <c r="W50" s="377">
        <f t="shared" si="16"/>
        <v>98026</v>
      </c>
      <c r="X50" s="377">
        <f t="shared" si="16"/>
        <v>62174</v>
      </c>
      <c r="Y50" s="377">
        <f t="shared" si="16"/>
        <v>33009</v>
      </c>
      <c r="Z50" s="377">
        <f t="shared" si="16"/>
        <v>43045</v>
      </c>
      <c r="AA50" s="377">
        <f t="shared" si="16"/>
        <v>42001</v>
      </c>
      <c r="AB50" s="377">
        <f t="shared" si="16"/>
        <v>45166</v>
      </c>
    </row>
    <row r="51" spans="3:39">
      <c r="C51" s="39" t="s">
        <v>69</v>
      </c>
      <c r="D51" s="330">
        <f>'Cash flow'!E36</f>
        <v>269548</v>
      </c>
      <c r="E51" s="330">
        <f>'Cash flow'!F36</f>
        <v>141160</v>
      </c>
      <c r="F51" s="330">
        <f>'Cash flow'!G36</f>
        <v>174433</v>
      </c>
      <c r="G51" s="330">
        <f>'Cash flow'!H36</f>
        <v>230156</v>
      </c>
      <c r="H51" s="330">
        <f>'Cash flow'!I36</f>
        <v>251807</v>
      </c>
      <c r="I51" s="330"/>
      <c r="J51" s="330">
        <f>'Cash flow'!K36</f>
        <v>251586</v>
      </c>
      <c r="K51" s="330">
        <f>'Cash flow'!L36</f>
        <v>335215</v>
      </c>
      <c r="L51" s="330">
        <f>'Cash flow'!M36</f>
        <v>248023</v>
      </c>
      <c r="M51" s="330">
        <f>'Cash flow'!N36</f>
        <v>195840.92912010831</v>
      </c>
      <c r="N51" s="330">
        <f>'Cash flow'!O36</f>
        <v>173944</v>
      </c>
      <c r="O51" s="330">
        <f>'Cash flow'!P36</f>
        <v>174342</v>
      </c>
      <c r="P51" s="330">
        <f>'Cash flow'!Q36</f>
        <v>185427</v>
      </c>
      <c r="Q51" s="387"/>
      <c r="R51" s="330">
        <f>'Cash flow'!S36</f>
        <v>63516</v>
      </c>
      <c r="S51" s="330">
        <f>'Cash flow'!U36</f>
        <v>114721</v>
      </c>
      <c r="T51" s="330">
        <f>'Cash flow'!W36</f>
        <v>116421</v>
      </c>
      <c r="U51" s="330">
        <f>'Cash flow'!Z36</f>
        <v>150849</v>
      </c>
      <c r="V51" s="330">
        <f>'Cash flow'!AB36</f>
        <v>157703</v>
      </c>
      <c r="W51" s="330">
        <f>'Cash flow'!AD36</f>
        <v>133955</v>
      </c>
      <c r="X51" s="330">
        <f>'Cash flow'!AF36</f>
        <v>95668</v>
      </c>
      <c r="Y51" s="330">
        <f>'Cash flow'!AH36</f>
        <v>78188</v>
      </c>
      <c r="Z51" s="330">
        <f>'Cash flow'!AJ36</f>
        <v>86184</v>
      </c>
      <c r="AA51" s="330">
        <f>'Cash flow'!AL36</f>
        <v>80107</v>
      </c>
      <c r="AB51" s="330">
        <f>'Cash flow'!AN36</f>
        <v>80967</v>
      </c>
    </row>
    <row r="52" spans="3:39">
      <c r="C52" s="39" t="s">
        <v>81</v>
      </c>
      <c r="D52" s="330">
        <f>D27</f>
        <v>-10132</v>
      </c>
      <c r="E52" s="330">
        <f>E27</f>
        <v>-21786</v>
      </c>
      <c r="F52" s="330">
        <f>F27</f>
        <v>-10912</v>
      </c>
      <c r="G52" s="330">
        <f>G27</f>
        <v>-16967</v>
      </c>
      <c r="H52" s="330">
        <f>H27</f>
        <v>-12335</v>
      </c>
      <c r="I52" s="330"/>
      <c r="J52" s="330">
        <f t="shared" ref="J52:O52" si="17">J27</f>
        <v>-14962</v>
      </c>
      <c r="K52" s="330">
        <f t="shared" si="17"/>
        <v>-92151</v>
      </c>
      <c r="L52" s="330">
        <f t="shared" si="17"/>
        <v>-74406</v>
      </c>
      <c r="M52" s="330">
        <f t="shared" si="17"/>
        <v>-70259</v>
      </c>
      <c r="N52" s="330">
        <f t="shared" si="17"/>
        <v>-89094</v>
      </c>
      <c r="O52" s="330">
        <f t="shared" si="17"/>
        <v>-82994</v>
      </c>
      <c r="P52" s="330">
        <f t="shared" ref="P52" si="18">P27</f>
        <v>-78678</v>
      </c>
      <c r="Q52" s="387"/>
      <c r="R52" s="330">
        <f>R27</f>
        <v>-6041</v>
      </c>
      <c r="S52" s="330">
        <f>S27</f>
        <v>-10462</v>
      </c>
      <c r="T52" s="330">
        <f>T27</f>
        <v>-5652</v>
      </c>
      <c r="U52" s="330">
        <f t="shared" ref="U52:AB52" si="19">U27</f>
        <v>-7931</v>
      </c>
      <c r="V52" s="330">
        <f t="shared" si="19"/>
        <v>-55610</v>
      </c>
      <c r="W52" s="330">
        <f t="shared" si="19"/>
        <v>-35929</v>
      </c>
      <c r="X52" s="330">
        <f t="shared" si="19"/>
        <v>-33494</v>
      </c>
      <c r="Y52" s="330">
        <f t="shared" si="19"/>
        <v>-45179</v>
      </c>
      <c r="Z52" s="330">
        <f t="shared" si="19"/>
        <v>-43139</v>
      </c>
      <c r="AA52" s="330">
        <f t="shared" si="19"/>
        <v>-38106</v>
      </c>
      <c r="AB52" s="330">
        <f t="shared" si="19"/>
        <v>-35801</v>
      </c>
    </row>
    <row r="53" spans="3:39">
      <c r="C53" s="39"/>
      <c r="D53" s="380"/>
      <c r="E53" s="380"/>
      <c r="F53" s="380"/>
      <c r="G53" s="380"/>
      <c r="H53" s="380"/>
      <c r="I53" s="380"/>
      <c r="J53" s="380"/>
      <c r="K53" s="380"/>
      <c r="L53" s="380"/>
      <c r="M53" s="380"/>
      <c r="N53" s="380"/>
      <c r="O53" s="380"/>
      <c r="P53" s="380"/>
      <c r="Q53" s="387"/>
      <c r="R53" s="380"/>
      <c r="S53" s="380"/>
      <c r="T53" s="380"/>
      <c r="U53" s="380"/>
      <c r="V53" s="380"/>
      <c r="W53" s="380"/>
      <c r="X53" s="380"/>
      <c r="Y53" s="380"/>
      <c r="Z53" s="380"/>
      <c r="AA53" s="380"/>
      <c r="AB53" s="380"/>
    </row>
    <row r="54" spans="3:39">
      <c r="C54" s="74" t="s">
        <v>685</v>
      </c>
      <c r="D54" s="377">
        <f t="shared" ref="D54:N54" si="20">D55-D56</f>
        <v>248471</v>
      </c>
      <c r="E54" s="377">
        <f t="shared" si="20"/>
        <v>131214</v>
      </c>
      <c r="F54" s="377">
        <f t="shared" si="20"/>
        <v>185117</v>
      </c>
      <c r="G54" s="377">
        <f t="shared" si="20"/>
        <v>246511</v>
      </c>
      <c r="H54" s="377">
        <f t="shared" si="20"/>
        <v>244655</v>
      </c>
      <c r="I54" s="377"/>
      <c r="J54" s="377">
        <f t="shared" si="20"/>
        <v>235180</v>
      </c>
      <c r="K54" s="377">
        <f t="shared" si="20"/>
        <v>356683</v>
      </c>
      <c r="L54" s="377">
        <f t="shared" si="20"/>
        <v>242926</v>
      </c>
      <c r="M54" s="377">
        <f t="shared" si="20"/>
        <v>194907.92912010831</v>
      </c>
      <c r="N54" s="377">
        <f t="shared" si="20"/>
        <v>176025</v>
      </c>
      <c r="O54" s="377">
        <f>O55-O56</f>
        <v>185435</v>
      </c>
      <c r="P54" s="377">
        <f>P55-P56</f>
        <v>192229</v>
      </c>
      <c r="Q54" s="387"/>
      <c r="R54" s="388" t="s">
        <v>694</v>
      </c>
      <c r="S54" s="388" t="s">
        <v>694</v>
      </c>
      <c r="T54" s="388" t="s">
        <v>694</v>
      </c>
      <c r="U54" s="388" t="s">
        <v>694</v>
      </c>
      <c r="V54" s="388" t="s">
        <v>694</v>
      </c>
      <c r="W54" s="388" t="s">
        <v>694</v>
      </c>
      <c r="X54" s="388" t="s">
        <v>694</v>
      </c>
      <c r="Y54" s="388" t="s">
        <v>694</v>
      </c>
      <c r="Z54" s="388" t="s">
        <v>694</v>
      </c>
      <c r="AA54" s="388" t="s">
        <v>694</v>
      </c>
      <c r="AB54" s="388" t="s">
        <v>694</v>
      </c>
    </row>
    <row r="55" spans="3:39">
      <c r="C55" s="39" t="s">
        <v>69</v>
      </c>
      <c r="D55" s="330">
        <f>D51</f>
        <v>269548</v>
      </c>
      <c r="E55" s="330">
        <f t="shared" ref="E55:O55" si="21">E51</f>
        <v>141160</v>
      </c>
      <c r="F55" s="330">
        <f t="shared" si="21"/>
        <v>174433</v>
      </c>
      <c r="G55" s="330">
        <f t="shared" si="21"/>
        <v>230156</v>
      </c>
      <c r="H55" s="330">
        <f t="shared" si="21"/>
        <v>251807</v>
      </c>
      <c r="I55" s="330"/>
      <c r="J55" s="330">
        <f t="shared" si="21"/>
        <v>251586</v>
      </c>
      <c r="K55" s="330">
        <f t="shared" si="21"/>
        <v>335215</v>
      </c>
      <c r="L55" s="330">
        <f t="shared" si="21"/>
        <v>248023</v>
      </c>
      <c r="M55" s="330">
        <f t="shared" si="21"/>
        <v>195840.92912010831</v>
      </c>
      <c r="N55" s="330">
        <f t="shared" si="21"/>
        <v>173944</v>
      </c>
      <c r="O55" s="330">
        <f t="shared" si="21"/>
        <v>174342</v>
      </c>
      <c r="P55" s="330">
        <f t="shared" ref="P55" si="22">P51</f>
        <v>185427</v>
      </c>
      <c r="Q55" s="331"/>
      <c r="R55" s="389" t="s">
        <v>694</v>
      </c>
      <c r="S55" s="389" t="s">
        <v>694</v>
      </c>
      <c r="T55" s="389" t="s">
        <v>694</v>
      </c>
      <c r="U55" s="389" t="s">
        <v>694</v>
      </c>
      <c r="V55" s="389" t="s">
        <v>694</v>
      </c>
      <c r="W55" s="389" t="s">
        <v>694</v>
      </c>
      <c r="X55" s="389" t="s">
        <v>694</v>
      </c>
      <c r="Y55" s="389" t="s">
        <v>694</v>
      </c>
      <c r="Z55" s="389" t="s">
        <v>694</v>
      </c>
      <c r="AA55" s="389" t="s">
        <v>694</v>
      </c>
      <c r="AB55" s="389" t="s">
        <v>694</v>
      </c>
    </row>
    <row r="56" spans="3:39">
      <c r="C56" s="39" t="s">
        <v>62</v>
      </c>
      <c r="D56" s="330">
        <f>SUM('Cash flow'!E30:E32)</f>
        <v>21077</v>
      </c>
      <c r="E56" s="330">
        <f>SUM('Cash flow'!F30:F32)</f>
        <v>9946</v>
      </c>
      <c r="F56" s="330">
        <f>SUM('Cash flow'!G30:G32)</f>
        <v>-10684</v>
      </c>
      <c r="G56" s="330">
        <f>SUM('Cash flow'!H30:H32)</f>
        <v>-16355</v>
      </c>
      <c r="H56" s="330">
        <f>SUM('Cash flow'!I30:I32)</f>
        <v>7152</v>
      </c>
      <c r="I56" s="330"/>
      <c r="J56" s="330">
        <f>SUM('Cash flow'!K30:K32)</f>
        <v>16406</v>
      </c>
      <c r="K56" s="330">
        <f>SUM('Cash flow'!L30:L32)</f>
        <v>-21468</v>
      </c>
      <c r="L56" s="330">
        <f>SUM('Cash flow'!M30:M32)</f>
        <v>5097</v>
      </c>
      <c r="M56" s="330">
        <f>SUM('Cash flow'!N30:N32)</f>
        <v>933</v>
      </c>
      <c r="N56" s="330">
        <f>SUM('Cash flow'!O30:O32)</f>
        <v>-2081</v>
      </c>
      <c r="O56" s="330">
        <f>SUM('Cash flow'!P30:P32)</f>
        <v>-11093</v>
      </c>
      <c r="P56" s="330">
        <f>SUM('Cash flow'!Q30:Q32)</f>
        <v>-6802</v>
      </c>
      <c r="Q56" s="387"/>
      <c r="R56" s="216" t="s">
        <v>694</v>
      </c>
      <c r="S56" s="216" t="s">
        <v>694</v>
      </c>
      <c r="T56" s="216" t="s">
        <v>694</v>
      </c>
      <c r="U56" s="216" t="s">
        <v>694</v>
      </c>
      <c r="V56" s="216" t="s">
        <v>694</v>
      </c>
      <c r="W56" s="216" t="s">
        <v>694</v>
      </c>
      <c r="X56" s="216" t="s">
        <v>694</v>
      </c>
      <c r="Y56" s="216" t="s">
        <v>694</v>
      </c>
      <c r="Z56" s="216" t="s">
        <v>694</v>
      </c>
      <c r="AA56" s="216" t="s">
        <v>694</v>
      </c>
      <c r="AB56" s="216" t="s">
        <v>694</v>
      </c>
    </row>
    <row r="60" spans="3:39">
      <c r="C60" s="6" t="s">
        <v>108</v>
      </c>
    </row>
    <row r="61" spans="3:39">
      <c r="C61" s="8" t="s">
        <v>109</v>
      </c>
    </row>
    <row r="63" spans="3:39" ht="14.25">
      <c r="C63" s="396" t="s">
        <v>734</v>
      </c>
    </row>
    <row r="64" spans="3:39" ht="14.25" customHeight="1">
      <c r="C64" s="450" t="s">
        <v>749</v>
      </c>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3"/>
      <c r="AD64" s="443"/>
      <c r="AE64" s="443"/>
      <c r="AF64" s="443"/>
      <c r="AG64" s="443"/>
      <c r="AH64" s="443"/>
      <c r="AI64" s="443"/>
      <c r="AJ64" s="443"/>
      <c r="AK64" s="443"/>
      <c r="AL64" s="443"/>
      <c r="AM64" s="443"/>
    </row>
    <row r="65" spans="3:39" ht="48.75" customHeight="1">
      <c r="C65" s="450" t="s">
        <v>751</v>
      </c>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row>
    <row r="66" spans="3:39">
      <c r="C66" s="11"/>
      <c r="D66" s="277"/>
      <c r="E66" s="277"/>
      <c r="F66" s="277"/>
      <c r="G66" s="277"/>
      <c r="H66" s="277"/>
      <c r="I66" s="277"/>
      <c r="J66" s="277"/>
      <c r="K66" s="277"/>
      <c r="L66" s="277"/>
      <c r="M66" s="277"/>
      <c r="N66" s="277"/>
      <c r="O66" s="277"/>
      <c r="P66" s="277"/>
      <c r="Q66" s="424"/>
      <c r="R66" s="277"/>
      <c r="S66" s="277"/>
      <c r="T66" s="277"/>
      <c r="U66" s="277"/>
      <c r="V66" s="277"/>
      <c r="W66" s="277"/>
      <c r="X66" s="277"/>
      <c r="Y66" s="277"/>
      <c r="Z66" s="277"/>
      <c r="AA66" s="277"/>
      <c r="AB66" s="277"/>
    </row>
    <row r="67" spans="3:39">
      <c r="D67" s="277"/>
      <c r="E67" s="277"/>
      <c r="F67" s="277"/>
      <c r="G67" s="277"/>
      <c r="H67" s="277"/>
      <c r="I67" s="277"/>
      <c r="J67" s="277"/>
      <c r="K67" s="277"/>
      <c r="L67" s="277"/>
      <c r="M67" s="277"/>
      <c r="N67" s="277"/>
      <c r="O67" s="277"/>
      <c r="P67" s="277"/>
      <c r="Q67" s="424"/>
      <c r="R67" s="277"/>
      <c r="S67" s="277"/>
      <c r="T67" s="277"/>
      <c r="U67" s="277"/>
      <c r="V67" s="277"/>
      <c r="W67" s="277"/>
      <c r="X67" s="277"/>
      <c r="Y67" s="277"/>
      <c r="Z67" s="277"/>
      <c r="AA67" s="277"/>
      <c r="AB67" s="277"/>
    </row>
    <row r="68" spans="3:39">
      <c r="D68" s="277"/>
      <c r="E68" s="277"/>
      <c r="F68" s="277"/>
      <c r="G68" s="277"/>
      <c r="H68" s="277"/>
      <c r="I68" s="277"/>
      <c r="J68" s="277"/>
      <c r="K68" s="277"/>
      <c r="L68" s="277"/>
      <c r="M68" s="277"/>
      <c r="N68" s="277"/>
      <c r="O68" s="277"/>
      <c r="P68" s="277"/>
      <c r="Q68" s="424"/>
      <c r="R68" s="277"/>
      <c r="S68" s="277"/>
      <c r="T68" s="277"/>
      <c r="U68" s="277"/>
      <c r="V68" s="277"/>
      <c r="W68" s="277"/>
      <c r="X68" s="277"/>
      <c r="Y68" s="277"/>
      <c r="Z68" s="277"/>
      <c r="AA68" s="277"/>
      <c r="AB68" s="277"/>
    </row>
    <row r="69" spans="3:39">
      <c r="D69" s="277"/>
      <c r="E69" s="277"/>
      <c r="F69" s="277"/>
      <c r="G69" s="277"/>
      <c r="H69" s="277"/>
      <c r="I69" s="277"/>
      <c r="J69" s="277"/>
      <c r="K69" s="277"/>
      <c r="L69" s="277"/>
      <c r="M69" s="277"/>
      <c r="N69" s="277"/>
      <c r="O69" s="277"/>
      <c r="P69" s="277"/>
      <c r="Q69" s="424"/>
      <c r="R69" s="277"/>
      <c r="S69" s="277"/>
      <c r="T69" s="277"/>
      <c r="U69" s="277"/>
      <c r="V69" s="277"/>
      <c r="W69" s="277"/>
      <c r="X69" s="277"/>
      <c r="Y69" s="277"/>
      <c r="Z69" s="277"/>
      <c r="AA69" s="277"/>
      <c r="AB69" s="277"/>
    </row>
  </sheetData>
  <mergeCells count="2">
    <mergeCell ref="B7:B18"/>
    <mergeCell ref="B26:B30"/>
  </mergeCells>
  <phoneticPr fontId="348" type="noConversion"/>
  <conditionalFormatting sqref="D65:AA103">
    <cfRule type="cellIs" dxfId="1" priority="2" operator="notEqual">
      <formula>0</formula>
    </cfRule>
  </conditionalFormatting>
  <conditionalFormatting sqref="AB65:AB103">
    <cfRule type="cellIs" dxfId="0" priority="1" operator="notEqual">
      <formula>0</formula>
    </cfRule>
  </conditionalFormatting>
  <dataValidations count="1">
    <dataValidation allowBlank="1" showErrorMessage="1" sqref="C16 C12:C14 C7:C8" xr:uid="{00000000-0002-0000-0800-000000000000}">
      <formula1>0</formula1>
      <formula2>0</formula2>
    </dataValidation>
  </dataValidations>
  <hyperlinks>
    <hyperlink ref="C61" r:id="rId1" xr:uid="{00000000-0004-0000-0800-000000000000}"/>
  </hyperlinks>
  <pageMargins left="0.7" right="0.7" top="0.75" bottom="0.75" header="0.3" footer="0.3"/>
  <pageSetup paperSize="9"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7F83"/>
  </sheetPr>
  <dimension ref="C3:AE82"/>
  <sheetViews>
    <sheetView zoomScale="80" zoomScaleNormal="80" workbookViewId="0">
      <selection activeCell="M15" sqref="M15"/>
    </sheetView>
  </sheetViews>
  <sheetFormatPr defaultColWidth="9.140625" defaultRowHeight="12"/>
  <cols>
    <col min="1" max="2" width="3" style="6" customWidth="1"/>
    <col min="3" max="3" width="2.42578125" style="6" customWidth="1"/>
    <col min="4" max="4" width="26.85546875" style="6" customWidth="1"/>
    <col min="5" max="5" width="24.5703125" style="6" customWidth="1"/>
    <col min="6" max="6" width="21.85546875" style="6" customWidth="1"/>
    <col min="7" max="7" width="20.28515625" style="6" customWidth="1"/>
    <col min="8" max="8" width="14.42578125" style="6" customWidth="1"/>
    <col min="9" max="9" width="15.140625" style="6" customWidth="1"/>
    <col min="10" max="10" width="15.42578125" style="6" customWidth="1"/>
    <col min="11" max="12" width="14.42578125" style="6" customWidth="1"/>
    <col min="13" max="13" width="15.7109375" style="6" customWidth="1"/>
    <col min="14" max="14" width="21" style="6" customWidth="1"/>
    <col min="15" max="15" width="24.42578125" style="6" customWidth="1"/>
    <col min="16" max="16" width="22.7109375" style="6" customWidth="1"/>
    <col min="17" max="17" width="13.5703125" style="6" customWidth="1"/>
    <col min="18" max="18" width="15.85546875" style="6" customWidth="1"/>
    <col min="19" max="20" width="10.85546875" style="6" customWidth="1"/>
    <col min="21" max="21" width="11.140625" style="6" customWidth="1"/>
    <col min="22" max="22" width="14.7109375" style="6" customWidth="1"/>
    <col min="23" max="23" width="17" style="6" customWidth="1"/>
    <col min="24" max="16384" width="9.140625" style="6"/>
  </cols>
  <sheetData>
    <row r="3" spans="3:15" ht="12.75">
      <c r="D3" s="95" t="s">
        <v>492</v>
      </c>
    </row>
    <row r="4" spans="3:15">
      <c r="O4" s="7"/>
    </row>
    <row r="5" spans="3:15">
      <c r="D5" s="77" t="s">
        <v>520</v>
      </c>
      <c r="E5" s="77" t="s">
        <v>216</v>
      </c>
      <c r="F5" s="76" t="s">
        <v>495</v>
      </c>
      <c r="G5" s="76" t="s">
        <v>500</v>
      </c>
      <c r="H5" s="475" t="s">
        <v>710</v>
      </c>
      <c r="I5" s="475"/>
      <c r="J5" s="318" t="s">
        <v>711</v>
      </c>
      <c r="K5" s="318" t="s">
        <v>716</v>
      </c>
      <c r="L5" s="303" t="s">
        <v>718</v>
      </c>
      <c r="M5" s="318" t="s">
        <v>713</v>
      </c>
    </row>
    <row r="6" spans="3:15" ht="12.75" customHeight="1">
      <c r="C6" s="34"/>
      <c r="D6" s="57" t="s">
        <v>541</v>
      </c>
      <c r="E6" s="56"/>
      <c r="F6" s="56"/>
      <c r="G6" s="56"/>
      <c r="H6" s="56"/>
      <c r="I6" s="56"/>
      <c r="J6" s="56"/>
      <c r="K6" s="56"/>
      <c r="L6" s="56"/>
      <c r="M6" s="56"/>
    </row>
    <row r="7" spans="3:15" s="11" customFormat="1">
      <c r="C7" s="34"/>
      <c r="D7" s="39" t="s">
        <v>515</v>
      </c>
      <c r="E7" s="39" t="s">
        <v>528</v>
      </c>
      <c r="F7" s="39" t="s">
        <v>516</v>
      </c>
      <c r="G7" s="92" t="s">
        <v>521</v>
      </c>
      <c r="H7" s="480" t="s">
        <v>519</v>
      </c>
      <c r="I7" s="480"/>
      <c r="J7" s="302" t="s">
        <v>712</v>
      </c>
      <c r="K7" s="302" t="s">
        <v>715</v>
      </c>
      <c r="L7" s="302" t="s">
        <v>717</v>
      </c>
      <c r="M7" s="302" t="s">
        <v>714</v>
      </c>
    </row>
    <row r="8" spans="3:15">
      <c r="C8" s="34"/>
      <c r="F8" s="80"/>
      <c r="G8" s="80"/>
      <c r="H8" s="80"/>
      <c r="I8" s="80"/>
      <c r="J8" s="80"/>
      <c r="K8" s="80"/>
      <c r="L8" s="80"/>
      <c r="M8" s="80"/>
    </row>
    <row r="9" spans="3:15">
      <c r="C9" s="34"/>
      <c r="D9" s="93" t="s">
        <v>228</v>
      </c>
      <c r="E9" s="91"/>
      <c r="F9" s="89"/>
      <c r="G9" s="91"/>
      <c r="H9" s="89"/>
      <c r="I9" s="36"/>
      <c r="J9" s="89"/>
      <c r="K9" s="89"/>
      <c r="L9" s="89"/>
      <c r="M9" s="89"/>
    </row>
    <row r="10" spans="3:15">
      <c r="C10" s="34"/>
      <c r="D10" s="36" t="s">
        <v>529</v>
      </c>
      <c r="E10" s="91" t="s">
        <v>517</v>
      </c>
      <c r="F10" s="89"/>
      <c r="G10" s="91"/>
      <c r="H10" s="89"/>
      <c r="I10" s="36"/>
      <c r="J10" s="89"/>
      <c r="K10" s="89"/>
      <c r="L10" s="89"/>
      <c r="M10" s="89"/>
    </row>
    <row r="11" spans="3:15">
      <c r="C11" s="34"/>
      <c r="O11" s="8"/>
    </row>
    <row r="12" spans="3:15">
      <c r="C12" s="34"/>
      <c r="O12" s="8"/>
    </row>
    <row r="13" spans="3:15" ht="12.75">
      <c r="C13" s="34"/>
      <c r="D13" s="95" t="s">
        <v>544</v>
      </c>
      <c r="O13" s="8"/>
    </row>
    <row r="14" spans="3:15" ht="24">
      <c r="C14" s="34"/>
      <c r="D14" s="76"/>
      <c r="E14" s="76" t="s">
        <v>638</v>
      </c>
      <c r="F14" s="144" t="s">
        <v>490</v>
      </c>
      <c r="G14" s="76" t="s">
        <v>491</v>
      </c>
      <c r="H14" s="144" t="s">
        <v>490</v>
      </c>
      <c r="I14" s="127" t="s">
        <v>639</v>
      </c>
      <c r="J14" s="127" t="s">
        <v>490</v>
      </c>
      <c r="O14" s="8"/>
    </row>
    <row r="15" spans="3:15" s="316" customFormat="1" ht="33" customHeight="1">
      <c r="C15" s="70"/>
      <c r="D15" s="306" t="s">
        <v>707</v>
      </c>
      <c r="E15" s="313">
        <v>176250000</v>
      </c>
      <c r="F15" s="314">
        <f t="shared" ref="F15:F20" si="0">E15/$E$20</f>
        <v>0.30750000037946806</v>
      </c>
      <c r="G15" s="313">
        <v>126814024</v>
      </c>
      <c r="H15" s="314">
        <v>0.2999</v>
      </c>
      <c r="I15" s="313">
        <f t="shared" ref="I15:I20" si="1">E15-G15</f>
        <v>49435976</v>
      </c>
      <c r="J15" s="315">
        <f t="shared" ref="J15:J20" si="2">I15/$I$20</f>
        <v>0.32857143350875673</v>
      </c>
      <c r="O15" s="317"/>
    </row>
    <row r="16" spans="3:15">
      <c r="C16" s="34"/>
      <c r="D16" s="36" t="s">
        <v>708</v>
      </c>
      <c r="E16" s="109">
        <v>176250000</v>
      </c>
      <c r="F16" s="307">
        <f t="shared" si="0"/>
        <v>0.30750000037946806</v>
      </c>
      <c r="G16" s="109">
        <v>126814024</v>
      </c>
      <c r="H16" s="307">
        <v>0.2999</v>
      </c>
      <c r="I16" s="109">
        <f t="shared" si="1"/>
        <v>49435976</v>
      </c>
      <c r="J16" s="310">
        <f t="shared" si="2"/>
        <v>0.32857143350875673</v>
      </c>
      <c r="O16" s="8"/>
    </row>
    <row r="17" spans="3:15">
      <c r="C17" s="34"/>
      <c r="D17" s="36" t="s">
        <v>488</v>
      </c>
      <c r="E17" s="109">
        <v>51585365</v>
      </c>
      <c r="F17" s="307">
        <f t="shared" si="0"/>
        <v>8.9999998621702132E-2</v>
      </c>
      <c r="G17" s="109">
        <v>25792683</v>
      </c>
      <c r="H17" s="307">
        <f t="shared" ref="H17:H20" si="3">G17/$G$20</f>
        <v>6.1016949272830627E-2</v>
      </c>
      <c r="I17" s="109">
        <f t="shared" si="1"/>
        <v>25792682</v>
      </c>
      <c r="J17" s="310">
        <f t="shared" si="2"/>
        <v>0.17142856649124327</v>
      </c>
      <c r="O17" s="8"/>
    </row>
    <row r="18" spans="3:15">
      <c r="C18" s="34"/>
      <c r="D18" s="36" t="s">
        <v>709</v>
      </c>
      <c r="E18" s="109">
        <v>51585365</v>
      </c>
      <c r="F18" s="307">
        <f t="shared" si="0"/>
        <v>8.9999998621702132E-2</v>
      </c>
      <c r="G18" s="109">
        <v>25792683</v>
      </c>
      <c r="H18" s="307">
        <f t="shared" si="3"/>
        <v>6.1016949272830627E-2</v>
      </c>
      <c r="I18" s="109">
        <f t="shared" si="1"/>
        <v>25792682</v>
      </c>
      <c r="J18" s="310">
        <f t="shared" si="2"/>
        <v>0.17142856649124327</v>
      </c>
      <c r="O18" s="8"/>
    </row>
    <row r="19" spans="3:15">
      <c r="C19" s="34"/>
      <c r="D19" s="63" t="s">
        <v>489</v>
      </c>
      <c r="E19" s="110">
        <v>117500001</v>
      </c>
      <c r="F19" s="308">
        <f t="shared" si="0"/>
        <v>0.20500000199765958</v>
      </c>
      <c r="G19" s="110">
        <v>117500001</v>
      </c>
      <c r="H19" s="308">
        <f t="shared" si="3"/>
        <v>0.27796610382000769</v>
      </c>
      <c r="I19" s="110">
        <f t="shared" si="1"/>
        <v>0</v>
      </c>
      <c r="J19" s="311">
        <f t="shared" si="2"/>
        <v>0</v>
      </c>
      <c r="O19" s="8"/>
    </row>
    <row r="20" spans="3:15">
      <c r="C20" s="81"/>
      <c r="D20" s="32"/>
      <c r="E20" s="111">
        <f>SUM(E15:E19)</f>
        <v>573170731</v>
      </c>
      <c r="F20" s="309">
        <f t="shared" si="0"/>
        <v>1</v>
      </c>
      <c r="G20" s="111">
        <f>SUM(G15:G19)</f>
        <v>422713415</v>
      </c>
      <c r="H20" s="309">
        <f t="shared" si="3"/>
        <v>1</v>
      </c>
      <c r="I20" s="111">
        <f t="shared" si="1"/>
        <v>150457316</v>
      </c>
      <c r="J20" s="312">
        <f t="shared" si="2"/>
        <v>1</v>
      </c>
      <c r="O20" s="8"/>
    </row>
    <row r="21" spans="3:15">
      <c r="C21" s="81"/>
      <c r="O21" s="8"/>
    </row>
    <row r="23" spans="3:15" ht="15.75" customHeight="1">
      <c r="D23" s="475" t="s">
        <v>520</v>
      </c>
      <c r="E23" s="475" t="s">
        <v>216</v>
      </c>
      <c r="F23" s="477" t="s">
        <v>495</v>
      </c>
      <c r="G23" s="477" t="s">
        <v>500</v>
      </c>
      <c r="H23" s="475" t="s">
        <v>518</v>
      </c>
      <c r="I23" s="475"/>
      <c r="J23" s="477" t="s">
        <v>494</v>
      </c>
      <c r="K23" s="477" t="s">
        <v>493</v>
      </c>
      <c r="L23" s="477" t="s">
        <v>537</v>
      </c>
      <c r="M23" s="477" t="s">
        <v>640</v>
      </c>
      <c r="N23" s="477" t="s">
        <v>540</v>
      </c>
    </row>
    <row r="24" spans="3:15">
      <c r="D24" s="476"/>
      <c r="E24" s="476"/>
      <c r="F24" s="478"/>
      <c r="G24" s="478"/>
      <c r="H24" s="16" t="s">
        <v>522</v>
      </c>
      <c r="I24" s="16" t="s">
        <v>523</v>
      </c>
      <c r="J24" s="478"/>
      <c r="K24" s="478"/>
      <c r="L24" s="478"/>
      <c r="M24" s="478"/>
      <c r="N24" s="478"/>
    </row>
    <row r="25" spans="3:15" ht="12.75" customHeight="1">
      <c r="C25" s="34"/>
      <c r="D25" s="102" t="s">
        <v>542</v>
      </c>
      <c r="E25" s="102"/>
      <c r="F25" s="101"/>
      <c r="G25" s="101"/>
      <c r="H25" s="102"/>
      <c r="I25" s="102"/>
      <c r="J25" s="320"/>
      <c r="K25" s="102"/>
      <c r="L25" s="102"/>
      <c r="M25" s="102"/>
      <c r="N25" s="102"/>
    </row>
    <row r="26" spans="3:15">
      <c r="C26" s="34"/>
      <c r="D26" s="35" t="s">
        <v>229</v>
      </c>
      <c r="E26" s="35" t="s">
        <v>533</v>
      </c>
      <c r="F26" s="107" t="s">
        <v>496</v>
      </c>
      <c r="G26" s="103">
        <v>42478</v>
      </c>
      <c r="H26" s="35" t="s">
        <v>524</v>
      </c>
      <c r="I26" s="35" t="s">
        <v>525</v>
      </c>
      <c r="J26" s="149" t="s">
        <v>107</v>
      </c>
      <c r="K26" s="149" t="s">
        <v>535</v>
      </c>
      <c r="L26" s="35" t="s">
        <v>538</v>
      </c>
      <c r="M26" s="304">
        <v>6.8720000000000003E-2</v>
      </c>
      <c r="N26" s="97">
        <v>44586</v>
      </c>
    </row>
    <row r="27" spans="3:15">
      <c r="C27" s="34"/>
      <c r="D27" s="63" t="s">
        <v>229</v>
      </c>
      <c r="E27" s="63" t="s">
        <v>534</v>
      </c>
      <c r="F27" s="108" t="s">
        <v>496</v>
      </c>
      <c r="G27" s="104">
        <v>42635</v>
      </c>
      <c r="H27" s="63" t="s">
        <v>526</v>
      </c>
      <c r="I27" s="63" t="s">
        <v>527</v>
      </c>
      <c r="J27" s="319" t="s">
        <v>107</v>
      </c>
      <c r="K27" s="319" t="s">
        <v>535</v>
      </c>
      <c r="L27" s="63" t="s">
        <v>538</v>
      </c>
      <c r="M27" s="305">
        <v>6.5000000000000002E-2</v>
      </c>
      <c r="N27" s="99">
        <v>45191</v>
      </c>
    </row>
    <row r="28" spans="3:15">
      <c r="C28" s="34"/>
      <c r="D28" s="9"/>
      <c r="E28" s="9"/>
      <c r="F28" s="23"/>
      <c r="G28" s="146"/>
      <c r="H28" s="9"/>
      <c r="I28" s="9"/>
      <c r="J28" s="9"/>
      <c r="K28" s="9"/>
      <c r="L28" s="9"/>
      <c r="M28" s="147"/>
      <c r="N28" s="148"/>
    </row>
    <row r="29" spans="3:15" ht="35.25" customHeight="1">
      <c r="C29" s="34"/>
      <c r="D29" s="128" t="s">
        <v>520</v>
      </c>
      <c r="E29" s="128" t="s">
        <v>216</v>
      </c>
      <c r="F29" s="127" t="s">
        <v>495</v>
      </c>
      <c r="G29" s="127" t="s">
        <v>500</v>
      </c>
      <c r="H29" s="128" t="s">
        <v>518</v>
      </c>
      <c r="I29" s="127" t="s">
        <v>641</v>
      </c>
      <c r="J29" s="127" t="s">
        <v>494</v>
      </c>
      <c r="K29" s="127" t="s">
        <v>493</v>
      </c>
      <c r="L29" s="127" t="s">
        <v>537</v>
      </c>
      <c r="M29" s="127" t="s">
        <v>640</v>
      </c>
      <c r="N29" s="127" t="s">
        <v>540</v>
      </c>
    </row>
    <row r="30" spans="3:15" ht="12.75">
      <c r="C30" s="34"/>
      <c r="D30" s="58" t="s">
        <v>543</v>
      </c>
      <c r="E30" s="58"/>
      <c r="F30" s="105"/>
      <c r="G30" s="105"/>
      <c r="H30" s="58"/>
      <c r="I30" s="58"/>
      <c r="J30" s="58"/>
      <c r="K30" s="58"/>
      <c r="L30" s="58"/>
      <c r="M30" s="58"/>
      <c r="N30" s="58"/>
    </row>
    <row r="31" spans="3:15">
      <c r="C31" s="34"/>
      <c r="D31" s="35" t="s">
        <v>497</v>
      </c>
      <c r="E31" s="35" t="s">
        <v>530</v>
      </c>
      <c r="F31" s="107" t="s">
        <v>499</v>
      </c>
      <c r="G31" s="103">
        <v>42359</v>
      </c>
      <c r="H31" s="145" t="s">
        <v>498</v>
      </c>
      <c r="I31" s="149" t="s">
        <v>642</v>
      </c>
      <c r="J31" s="149" t="s">
        <v>107</v>
      </c>
      <c r="K31" s="149" t="s">
        <v>536</v>
      </c>
      <c r="L31" s="35" t="s">
        <v>539</v>
      </c>
      <c r="M31" s="98">
        <v>0.13100000000000001</v>
      </c>
      <c r="N31" s="97">
        <v>44180</v>
      </c>
    </row>
    <row r="32" spans="3:15">
      <c r="C32" s="34"/>
      <c r="D32" s="36" t="s">
        <v>497</v>
      </c>
      <c r="E32" s="36" t="s">
        <v>532</v>
      </c>
      <c r="F32" s="94" t="s">
        <v>499</v>
      </c>
      <c r="G32" s="106">
        <v>42418</v>
      </c>
      <c r="H32" s="126" t="s">
        <v>501</v>
      </c>
      <c r="I32" s="150" t="s">
        <v>643</v>
      </c>
      <c r="J32" s="149" t="s">
        <v>107</v>
      </c>
      <c r="K32" s="150" t="s">
        <v>536</v>
      </c>
      <c r="L32" s="36" t="s">
        <v>539</v>
      </c>
      <c r="M32" s="90">
        <v>0.13100000000000001</v>
      </c>
      <c r="N32" s="88">
        <v>44244</v>
      </c>
    </row>
    <row r="33" spans="3:24">
      <c r="C33" s="34"/>
      <c r="D33" s="36" t="s">
        <v>497</v>
      </c>
      <c r="E33" s="36" t="s">
        <v>531</v>
      </c>
      <c r="F33" s="94" t="s">
        <v>499</v>
      </c>
      <c r="G33" s="106">
        <v>42458</v>
      </c>
      <c r="H33" s="126" t="s">
        <v>502</v>
      </c>
      <c r="I33" s="150" t="s">
        <v>706</v>
      </c>
      <c r="J33" s="149" t="s">
        <v>107</v>
      </c>
      <c r="K33" s="150" t="s">
        <v>536</v>
      </c>
      <c r="L33" s="36" t="s">
        <v>539</v>
      </c>
      <c r="M33" s="90">
        <v>0.125</v>
      </c>
      <c r="N33" s="88">
        <v>44284</v>
      </c>
    </row>
    <row r="34" spans="3:24">
      <c r="F34" s="69"/>
      <c r="G34" s="85"/>
      <c r="M34" s="83"/>
      <c r="N34" s="85"/>
    </row>
    <row r="35" spans="3:24">
      <c r="D35" s="72" t="s">
        <v>156</v>
      </c>
      <c r="F35" s="69"/>
    </row>
    <row r="38" spans="3:24">
      <c r="X38" s="86"/>
    </row>
    <row r="39" spans="3:24">
      <c r="D39" s="78"/>
      <c r="E39" s="78"/>
      <c r="F39" s="79"/>
      <c r="G39" s="79"/>
      <c r="H39" s="479"/>
      <c r="I39" s="479"/>
    </row>
    <row r="53" spans="24:25">
      <c r="X53" s="82"/>
      <c r="Y53" s="82"/>
    </row>
    <row r="54" spans="24:25">
      <c r="X54" s="82"/>
      <c r="Y54" s="82"/>
    </row>
    <row r="55" spans="24:25">
      <c r="X55" s="82"/>
      <c r="Y55" s="82"/>
    </row>
    <row r="56" spans="24:25">
      <c r="X56" s="82"/>
      <c r="Y56" s="82"/>
    </row>
    <row r="57" spans="24:25">
      <c r="X57" s="82"/>
      <c r="Y57" s="82"/>
    </row>
    <row r="58" spans="24:25">
      <c r="X58" s="82"/>
      <c r="Y58" s="82"/>
    </row>
    <row r="73" spans="15:31">
      <c r="O73" s="3"/>
      <c r="P73" s="481" t="s">
        <v>226</v>
      </c>
      <c r="Q73" s="481"/>
      <c r="R73" s="481" t="s">
        <v>227</v>
      </c>
      <c r="S73" s="481"/>
      <c r="T73" s="481" t="s">
        <v>231</v>
      </c>
      <c r="U73" s="481"/>
      <c r="V73" s="481" t="s">
        <v>232</v>
      </c>
      <c r="W73" s="481"/>
      <c r="X73" s="481" t="s">
        <v>233</v>
      </c>
      <c r="Y73" s="481"/>
      <c r="Z73" s="481" t="s">
        <v>230</v>
      </c>
      <c r="AA73" s="481"/>
      <c r="AB73" s="481" t="s">
        <v>234</v>
      </c>
      <c r="AC73" s="481"/>
      <c r="AD73" s="481" t="s">
        <v>235</v>
      </c>
      <c r="AE73" s="481"/>
    </row>
    <row r="74" spans="15:31">
      <c r="O74" s="3"/>
      <c r="P74" s="3" t="s">
        <v>224</v>
      </c>
      <c r="Q74" s="3" t="s">
        <v>225</v>
      </c>
      <c r="R74" s="3" t="s">
        <v>224</v>
      </c>
      <c r="S74" s="3" t="s">
        <v>225</v>
      </c>
      <c r="T74" s="3" t="s">
        <v>224</v>
      </c>
      <c r="U74" s="3" t="s">
        <v>225</v>
      </c>
      <c r="V74" s="3" t="s">
        <v>224</v>
      </c>
      <c r="W74" s="3" t="s">
        <v>225</v>
      </c>
      <c r="X74" s="3" t="s">
        <v>224</v>
      </c>
      <c r="Y74" s="3" t="s">
        <v>225</v>
      </c>
      <c r="Z74" s="3" t="s">
        <v>224</v>
      </c>
      <c r="AA74" s="3" t="s">
        <v>225</v>
      </c>
      <c r="AB74" s="3" t="s">
        <v>224</v>
      </c>
      <c r="AC74" s="3" t="s">
        <v>225</v>
      </c>
      <c r="AD74" s="3" t="s">
        <v>224</v>
      </c>
      <c r="AE74" s="3" t="s">
        <v>225</v>
      </c>
    </row>
    <row r="75" spans="15:31">
      <c r="O75" s="6" t="s">
        <v>217</v>
      </c>
    </row>
    <row r="76" spans="15:31">
      <c r="O76" s="6" t="s">
        <v>218</v>
      </c>
    </row>
    <row r="77" spans="15:31">
      <c r="O77" s="84">
        <v>6.5000000000000002E-2</v>
      </c>
    </row>
    <row r="78" spans="15:31">
      <c r="O78" s="84">
        <v>6.8750000000000006E-2</v>
      </c>
    </row>
    <row r="79" spans="15:31">
      <c r="O79" s="6" t="s">
        <v>223</v>
      </c>
    </row>
    <row r="80" spans="15:31">
      <c r="O80" s="87" t="s">
        <v>238</v>
      </c>
    </row>
    <row r="81" spans="15:15">
      <c r="O81" s="87" t="s">
        <v>239</v>
      </c>
    </row>
    <row r="82" spans="15:15">
      <c r="O82" s="87" t="s">
        <v>240</v>
      </c>
    </row>
  </sheetData>
  <mergeCells count="21">
    <mergeCell ref="H39:I39"/>
    <mergeCell ref="H7:I7"/>
    <mergeCell ref="H5:I5"/>
    <mergeCell ref="AB73:AC73"/>
    <mergeCell ref="AD73:AE73"/>
    <mergeCell ref="P73:Q73"/>
    <mergeCell ref="R73:S73"/>
    <mergeCell ref="T73:U73"/>
    <mergeCell ref="V73:W73"/>
    <mergeCell ref="X73:Y73"/>
    <mergeCell ref="Z73:AA73"/>
    <mergeCell ref="L23:L24"/>
    <mergeCell ref="M23:M24"/>
    <mergeCell ref="N23:N24"/>
    <mergeCell ref="J23:J24"/>
    <mergeCell ref="K23:K24"/>
    <mergeCell ref="D23:D24"/>
    <mergeCell ref="E23:E24"/>
    <mergeCell ref="F23:F24"/>
    <mergeCell ref="G23:G24"/>
    <mergeCell ref="H23:I23"/>
  </mergeCells>
  <phoneticPr fontId="348" type="noConversion"/>
  <hyperlinks>
    <hyperlink ref="D9" r:id="rId1" xr:uid="{00000000-0004-0000-0900-000000000000}"/>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7F83"/>
  </sheetPr>
  <dimension ref="D3:T20"/>
  <sheetViews>
    <sheetView zoomScale="80" zoomScaleNormal="80" workbookViewId="0">
      <selection activeCell="K47" sqref="K47"/>
    </sheetView>
  </sheetViews>
  <sheetFormatPr defaultColWidth="9.140625" defaultRowHeight="12"/>
  <cols>
    <col min="1" max="1" width="3" style="6" customWidth="1"/>
    <col min="2" max="2" width="3.28515625" style="6" customWidth="1"/>
    <col min="3" max="3" width="2.7109375" style="6" customWidth="1"/>
    <col min="4" max="4" width="11.5703125" style="6" customWidth="1"/>
    <col min="5" max="5" width="13.42578125" style="6" customWidth="1"/>
    <col min="6" max="6" width="12.85546875" style="6" customWidth="1"/>
    <col min="7" max="7" width="15.7109375" style="6" customWidth="1"/>
    <col min="8" max="8" width="16.28515625" style="6" customWidth="1"/>
    <col min="9" max="9" width="17.140625" style="6" customWidth="1"/>
    <col min="10" max="10" width="71.85546875" style="6" customWidth="1"/>
    <col min="11" max="16384" width="9.140625" style="6"/>
  </cols>
  <sheetData>
    <row r="3" spans="4:20">
      <c r="D3" s="21" t="s">
        <v>596</v>
      </c>
    </row>
    <row r="5" spans="4:20" ht="36">
      <c r="D5" s="261" t="s">
        <v>595</v>
      </c>
      <c r="E5" s="226" t="s">
        <v>589</v>
      </c>
      <c r="F5" s="254" t="s">
        <v>590</v>
      </c>
      <c r="G5" s="144" t="s">
        <v>591</v>
      </c>
      <c r="H5" s="144" t="s">
        <v>592</v>
      </c>
      <c r="I5" s="144" t="s">
        <v>593</v>
      </c>
      <c r="J5" s="260" t="s">
        <v>594</v>
      </c>
    </row>
    <row r="6" spans="4:20">
      <c r="D6" s="262">
        <v>40798</v>
      </c>
      <c r="E6" s="129">
        <v>40802</v>
      </c>
      <c r="F6" s="263">
        <v>40806</v>
      </c>
      <c r="G6" s="264">
        <v>28.2</v>
      </c>
      <c r="H6" s="264">
        <v>0.06</v>
      </c>
      <c r="I6" s="264">
        <v>0.18</v>
      </c>
      <c r="J6" s="37" t="s">
        <v>597</v>
      </c>
    </row>
    <row r="7" spans="4:20">
      <c r="D7" s="262">
        <v>41003</v>
      </c>
      <c r="E7" s="129">
        <v>41016</v>
      </c>
      <c r="F7" s="263">
        <v>41017</v>
      </c>
      <c r="G7" s="264">
        <v>32.9</v>
      </c>
      <c r="H7" s="264">
        <v>7.0000000000000007E-2</v>
      </c>
      <c r="I7" s="264">
        <v>0.21</v>
      </c>
      <c r="J7" s="37" t="s">
        <v>703</v>
      </c>
    </row>
    <row r="8" spans="4:20">
      <c r="D8" s="262">
        <v>41169</v>
      </c>
      <c r="E8" s="129">
        <v>41173</v>
      </c>
      <c r="F8" s="263">
        <v>41177</v>
      </c>
      <c r="G8" s="264">
        <v>47</v>
      </c>
      <c r="H8" s="264">
        <v>0.1</v>
      </c>
      <c r="I8" s="264">
        <v>0.3</v>
      </c>
      <c r="J8" s="37" t="s">
        <v>598</v>
      </c>
    </row>
    <row r="9" spans="4:20">
      <c r="D9" s="262">
        <v>41260</v>
      </c>
      <c r="E9" s="129">
        <v>41302</v>
      </c>
      <c r="F9" s="263">
        <v>41333</v>
      </c>
      <c r="G9" s="264">
        <v>79.900000000000006</v>
      </c>
      <c r="H9" s="264">
        <v>0.17</v>
      </c>
      <c r="I9" s="264">
        <v>0.51</v>
      </c>
      <c r="J9" s="37" t="s">
        <v>600</v>
      </c>
    </row>
    <row r="10" spans="4:20">
      <c r="D10" s="262">
        <v>41351</v>
      </c>
      <c r="E10" s="129">
        <v>41402</v>
      </c>
      <c r="F10" s="263">
        <v>41426</v>
      </c>
      <c r="G10" s="264">
        <v>37.6</v>
      </c>
      <c r="H10" s="264">
        <v>0.08</v>
      </c>
      <c r="I10" s="264">
        <v>0.24</v>
      </c>
      <c r="J10" s="37" t="s">
        <v>704</v>
      </c>
    </row>
    <row r="11" spans="4:20">
      <c r="D11" s="262">
        <v>41540</v>
      </c>
      <c r="E11" s="129">
        <v>41543</v>
      </c>
      <c r="F11" s="263">
        <v>41567</v>
      </c>
      <c r="G11" s="264">
        <v>32.9</v>
      </c>
      <c r="H11" s="264">
        <v>7.0000000000000007E-2</v>
      </c>
      <c r="I11" s="264">
        <v>0.21</v>
      </c>
      <c r="J11" s="37" t="s">
        <v>599</v>
      </c>
    </row>
    <row r="12" spans="4:20">
      <c r="D12" s="262">
        <v>41628</v>
      </c>
      <c r="E12" s="129">
        <v>41635</v>
      </c>
      <c r="F12" s="263">
        <v>41694</v>
      </c>
      <c r="G12" s="264">
        <v>14</v>
      </c>
      <c r="H12" s="264">
        <v>0.03</v>
      </c>
      <c r="I12" s="264">
        <v>0.09</v>
      </c>
      <c r="J12" s="37" t="s">
        <v>599</v>
      </c>
    </row>
    <row r="13" spans="4:20">
      <c r="D13" s="262">
        <v>41715</v>
      </c>
      <c r="E13" s="129">
        <v>41767</v>
      </c>
      <c r="F13" s="263">
        <v>41791</v>
      </c>
      <c r="G13" s="264">
        <v>11.5</v>
      </c>
      <c r="H13" s="264">
        <v>0.02</v>
      </c>
      <c r="I13" s="264">
        <v>0.06</v>
      </c>
      <c r="J13" s="37" t="s">
        <v>705</v>
      </c>
    </row>
    <row r="14" spans="4:20">
      <c r="D14" s="265">
        <v>41897</v>
      </c>
      <c r="E14" s="266">
        <v>41936</v>
      </c>
      <c r="F14" s="267">
        <v>41943</v>
      </c>
      <c r="G14" s="268">
        <v>22.9</v>
      </c>
      <c r="H14" s="268">
        <v>0.04</v>
      </c>
      <c r="I14" s="268">
        <v>0.12</v>
      </c>
      <c r="J14" s="124" t="s">
        <v>601</v>
      </c>
    </row>
    <row r="16" spans="4:20">
      <c r="D16" s="72" t="s">
        <v>156</v>
      </c>
      <c r="T16" s="1"/>
    </row>
    <row r="20" spans="15:15">
      <c r="O20" s="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7F83"/>
  </sheetPr>
  <dimension ref="A1:S22"/>
  <sheetViews>
    <sheetView zoomScale="80" zoomScaleNormal="80" workbookViewId="0">
      <selection activeCell="O49" sqref="O49"/>
    </sheetView>
  </sheetViews>
  <sheetFormatPr defaultColWidth="9.140625" defaultRowHeight="12"/>
  <cols>
    <col min="1" max="1" width="7.28515625" style="6" customWidth="1"/>
    <col min="2" max="2" width="1.5703125" style="6" customWidth="1"/>
    <col min="3" max="3" width="34.5703125" style="6" customWidth="1"/>
    <col min="4" max="4" width="18.85546875" style="6" customWidth="1"/>
    <col min="5" max="5" width="33.5703125" style="6" customWidth="1"/>
    <col min="6" max="6" width="15" style="6" customWidth="1"/>
    <col min="7" max="7" width="14.42578125" style="6" customWidth="1"/>
    <col min="8" max="8" width="15.28515625" style="6" customWidth="1"/>
    <col min="9" max="9" width="11.42578125" style="6" customWidth="1"/>
    <col min="10" max="10" width="10.85546875" style="6" customWidth="1"/>
    <col min="11" max="11" width="11.5703125" style="6" customWidth="1"/>
    <col min="12" max="12" width="12.85546875" style="6" customWidth="1"/>
    <col min="13" max="13" width="15.85546875" style="6" customWidth="1"/>
    <col min="14" max="14" width="14.28515625" style="6" customWidth="1"/>
    <col min="15" max="15" width="16.85546875" style="6" customWidth="1"/>
    <col min="16" max="16" width="13.42578125" style="6" customWidth="1"/>
    <col min="17" max="17" width="21.28515625" style="6" customWidth="1"/>
    <col min="18" max="16384" width="9.140625" style="6"/>
  </cols>
  <sheetData>
    <row r="1" spans="1:19">
      <c r="C1" s="22"/>
    </row>
    <row r="3" spans="1:19" ht="12.75">
      <c r="C3" s="114" t="s">
        <v>552</v>
      </c>
    </row>
    <row r="4" spans="1:19">
      <c r="C4" s="22"/>
    </row>
    <row r="5" spans="1:19" ht="18.75" customHeight="1">
      <c r="C5" s="225"/>
      <c r="D5" s="485" t="s">
        <v>210</v>
      </c>
      <c r="E5" s="483" t="s">
        <v>203</v>
      </c>
      <c r="F5" s="483" t="s">
        <v>437</v>
      </c>
      <c r="G5" s="482" t="s">
        <v>438</v>
      </c>
      <c r="H5" s="483" t="s">
        <v>740</v>
      </c>
      <c r="I5" s="482" t="s">
        <v>440</v>
      </c>
      <c r="J5" s="482"/>
      <c r="K5" s="482" t="s">
        <v>631</v>
      </c>
      <c r="L5" s="483" t="s">
        <v>630</v>
      </c>
      <c r="M5" s="482" t="s">
        <v>168</v>
      </c>
      <c r="N5" s="483" t="s">
        <v>169</v>
      </c>
      <c r="O5" s="482" t="s">
        <v>629</v>
      </c>
      <c r="P5" s="9"/>
      <c r="Q5" s="9"/>
      <c r="R5" s="9"/>
      <c r="S5" s="9"/>
    </row>
    <row r="6" spans="1:19" ht="30" customHeight="1">
      <c r="C6" s="225"/>
      <c r="D6" s="485"/>
      <c r="E6" s="483"/>
      <c r="F6" s="483"/>
      <c r="G6" s="482"/>
      <c r="H6" s="483"/>
      <c r="I6" s="226" t="s">
        <v>645</v>
      </c>
      <c r="J6" s="254" t="s">
        <v>646</v>
      </c>
      <c r="K6" s="482"/>
      <c r="L6" s="483"/>
      <c r="M6" s="482"/>
      <c r="N6" s="483"/>
      <c r="O6" s="482"/>
      <c r="P6" s="9"/>
      <c r="Q6" s="9"/>
      <c r="R6" s="9"/>
      <c r="S6" s="9"/>
    </row>
    <row r="7" spans="1:19" ht="24" customHeight="1">
      <c r="A7" s="465" t="s">
        <v>211</v>
      </c>
      <c r="B7" s="70"/>
      <c r="C7" s="235" t="s">
        <v>164</v>
      </c>
      <c r="D7" s="239" t="s">
        <v>439</v>
      </c>
      <c r="E7" s="242" t="s">
        <v>204</v>
      </c>
      <c r="F7" s="229">
        <v>1250</v>
      </c>
      <c r="G7" s="133">
        <v>915</v>
      </c>
      <c r="H7" s="248">
        <f>'Operational Data'!AQ11*2/'Assets Description'!G7</f>
        <v>0.70347978142076495</v>
      </c>
      <c r="I7" s="227">
        <v>0</v>
      </c>
      <c r="J7" s="255">
        <v>88.6</v>
      </c>
      <c r="K7" s="133">
        <v>5</v>
      </c>
      <c r="L7" s="229">
        <v>947.5</v>
      </c>
      <c r="M7" s="133">
        <v>2905</v>
      </c>
      <c r="N7" s="229">
        <v>9</v>
      </c>
      <c r="O7" s="227">
        <v>2.8</v>
      </c>
      <c r="P7" s="9"/>
      <c r="Q7" s="9"/>
      <c r="R7" s="9"/>
      <c r="S7" s="9"/>
    </row>
    <row r="8" spans="1:19" ht="24">
      <c r="A8" s="465"/>
      <c r="B8" s="70"/>
      <c r="C8" s="236" t="s">
        <v>165</v>
      </c>
      <c r="D8" s="239" t="s">
        <v>439</v>
      </c>
      <c r="E8" s="405" t="s">
        <v>205</v>
      </c>
      <c r="F8" s="230">
        <v>1000</v>
      </c>
      <c r="G8" s="91">
        <v>350</v>
      </c>
      <c r="H8" s="249">
        <f>'Operational Data'!AQ9*2/'Assets Description'!G8</f>
        <v>1.21584</v>
      </c>
      <c r="I8" s="220">
        <v>111.1</v>
      </c>
      <c r="J8" s="256">
        <f>119-I8</f>
        <v>7.9000000000000057</v>
      </c>
      <c r="K8" s="91">
        <v>13</v>
      </c>
      <c r="L8" s="230">
        <v>2231.6999999999998</v>
      </c>
      <c r="M8" s="91">
        <v>3510</v>
      </c>
      <c r="N8" s="230">
        <v>13</v>
      </c>
      <c r="O8" s="220">
        <v>6.8</v>
      </c>
      <c r="P8" s="9"/>
      <c r="Q8" s="9"/>
      <c r="R8" s="9"/>
      <c r="S8" s="9"/>
    </row>
    <row r="9" spans="1:19">
      <c r="A9" s="465"/>
      <c r="B9" s="70"/>
      <c r="C9" s="236" t="s">
        <v>166</v>
      </c>
      <c r="D9" s="92" t="s">
        <v>442</v>
      </c>
      <c r="E9" s="243" t="s">
        <v>206</v>
      </c>
      <c r="F9" s="230">
        <v>440</v>
      </c>
      <c r="G9" s="91">
        <v>230</v>
      </c>
      <c r="H9" s="249">
        <f>'Operational Data'!AQ12*2/'Assets Description'!G9</f>
        <v>0.23430434782608697</v>
      </c>
      <c r="I9" s="220">
        <v>0</v>
      </c>
      <c r="J9" s="256">
        <v>38.9</v>
      </c>
      <c r="K9" s="91">
        <v>2</v>
      </c>
      <c r="L9" s="230">
        <v>440</v>
      </c>
      <c r="M9" s="91">
        <v>420</v>
      </c>
      <c r="N9" s="230">
        <v>7</v>
      </c>
      <c r="O9" s="220">
        <v>5</v>
      </c>
      <c r="P9" s="9"/>
      <c r="Q9" s="9"/>
      <c r="R9" s="9"/>
      <c r="S9" s="9"/>
    </row>
    <row r="10" spans="1:19">
      <c r="A10" s="465"/>
      <c r="B10" s="70"/>
      <c r="C10" s="237" t="s">
        <v>167</v>
      </c>
      <c r="D10" s="240" t="s">
        <v>441</v>
      </c>
      <c r="E10" s="244" t="s">
        <v>702</v>
      </c>
      <c r="F10" s="231">
        <v>650</v>
      </c>
      <c r="G10" s="137">
        <v>650</v>
      </c>
      <c r="H10" s="250">
        <f>'Operational Data'!AQ10*2/'Assets Description'!G10</f>
        <v>0.65453538461538463</v>
      </c>
      <c r="I10" s="228">
        <v>73.099999999999994</v>
      </c>
      <c r="J10" s="257">
        <f>76.6-I10</f>
        <v>3.5</v>
      </c>
      <c r="K10" s="137">
        <v>4</v>
      </c>
      <c r="L10" s="231">
        <v>1284</v>
      </c>
      <c r="M10" s="137">
        <v>230</v>
      </c>
      <c r="N10" s="231">
        <v>3</v>
      </c>
      <c r="O10" s="228">
        <v>6.3</v>
      </c>
      <c r="P10" s="9"/>
      <c r="Q10" s="9"/>
      <c r="R10" s="9"/>
      <c r="S10" s="9"/>
    </row>
    <row r="11" spans="1:19">
      <c r="C11" s="238" t="s">
        <v>200</v>
      </c>
      <c r="D11" s="232"/>
      <c r="E11" s="245"/>
      <c r="F11" s="246">
        <f>SUM(F7:F10)</f>
        <v>3340</v>
      </c>
      <c r="G11" s="233">
        <f>SUM(G7:G10)</f>
        <v>2145</v>
      </c>
      <c r="H11" s="251">
        <f>'Operational Data'!AQ20*2/'Assets Description'!G11</f>
        <v>0.72194219114219116</v>
      </c>
      <c r="I11" s="234">
        <f t="shared" ref="I11:O11" si="0">SUM(I7:I10)</f>
        <v>184.2</v>
      </c>
      <c r="J11" s="258">
        <f t="shared" si="0"/>
        <v>138.9</v>
      </c>
      <c r="K11" s="233">
        <f t="shared" si="0"/>
        <v>24</v>
      </c>
      <c r="L11" s="246">
        <f t="shared" si="0"/>
        <v>4903.2</v>
      </c>
      <c r="M11" s="233">
        <f t="shared" si="0"/>
        <v>7065</v>
      </c>
      <c r="N11" s="233">
        <f t="shared" si="0"/>
        <v>32</v>
      </c>
      <c r="O11" s="234">
        <f t="shared" si="0"/>
        <v>20.9</v>
      </c>
      <c r="P11" s="9"/>
      <c r="Q11" s="9"/>
      <c r="R11" s="9"/>
      <c r="S11" s="9"/>
    </row>
    <row r="12" spans="1:19">
      <c r="C12" s="235"/>
      <c r="D12" s="241"/>
      <c r="E12" s="242"/>
      <c r="F12" s="229"/>
      <c r="G12" s="133"/>
      <c r="H12" s="252"/>
      <c r="I12" s="227"/>
      <c r="J12" s="255"/>
      <c r="K12" s="133"/>
      <c r="L12" s="229"/>
      <c r="M12" s="133"/>
      <c r="N12" s="229"/>
      <c r="O12" s="227"/>
      <c r="P12" s="9"/>
      <c r="Q12" s="9"/>
      <c r="R12" s="9"/>
      <c r="S12" s="9"/>
    </row>
    <row r="13" spans="1:19" ht="24" customHeight="1">
      <c r="A13" s="484" t="s">
        <v>446</v>
      </c>
      <c r="C13" s="236" t="s">
        <v>185</v>
      </c>
      <c r="D13" s="223" t="s">
        <v>443</v>
      </c>
      <c r="E13" s="405" t="s">
        <v>205</v>
      </c>
      <c r="F13" s="230">
        <v>400</v>
      </c>
      <c r="G13" s="91">
        <v>275</v>
      </c>
      <c r="H13" s="249" t="s">
        <v>426</v>
      </c>
      <c r="I13" s="220">
        <v>5.6</v>
      </c>
      <c r="J13" s="256">
        <f>12.9-I13</f>
        <v>7.3000000000000007</v>
      </c>
      <c r="K13" s="91">
        <v>2</v>
      </c>
      <c r="L13" s="230">
        <v>319.60000000000002</v>
      </c>
      <c r="M13" s="91">
        <v>504</v>
      </c>
      <c r="N13" s="230">
        <v>0</v>
      </c>
      <c r="O13" s="220">
        <v>0</v>
      </c>
      <c r="P13" s="9"/>
      <c r="Q13" s="9"/>
      <c r="R13" s="9"/>
      <c r="S13" s="9"/>
    </row>
    <row r="14" spans="1:19">
      <c r="A14" s="484"/>
      <c r="C14" s="236" t="s">
        <v>207</v>
      </c>
      <c r="D14" s="92" t="s">
        <v>444</v>
      </c>
      <c r="E14" s="243" t="s">
        <v>209</v>
      </c>
      <c r="F14" s="230">
        <v>150</v>
      </c>
      <c r="G14" s="91">
        <v>150</v>
      </c>
      <c r="H14" s="486">
        <f>'Operational Data'!AQ27*2/SUM('Assets Description'!G14:G15)</f>
        <v>0.24065238095238095</v>
      </c>
      <c r="I14" s="220">
        <v>0</v>
      </c>
      <c r="J14" s="256">
        <v>0.5</v>
      </c>
      <c r="K14" s="91">
        <v>2</v>
      </c>
      <c r="L14" s="230">
        <v>500</v>
      </c>
      <c r="M14" s="91">
        <v>8</v>
      </c>
      <c r="N14" s="230">
        <v>0</v>
      </c>
      <c r="O14" s="220">
        <v>0</v>
      </c>
      <c r="P14" s="9"/>
      <c r="Q14" s="9"/>
      <c r="R14" s="9"/>
      <c r="S14" s="9"/>
    </row>
    <row r="15" spans="1:19">
      <c r="A15" s="484"/>
      <c r="C15" s="236" t="s">
        <v>208</v>
      </c>
      <c r="D15" s="92" t="s">
        <v>701</v>
      </c>
      <c r="E15" s="243" t="s">
        <v>209</v>
      </c>
      <c r="F15" s="230">
        <v>270</v>
      </c>
      <c r="G15" s="91">
        <v>270</v>
      </c>
      <c r="H15" s="487"/>
      <c r="I15" s="220">
        <v>0</v>
      </c>
      <c r="J15" s="256">
        <v>7</v>
      </c>
      <c r="K15" s="91">
        <v>2</v>
      </c>
      <c r="L15" s="230">
        <v>300</v>
      </c>
      <c r="M15" s="91">
        <v>108</v>
      </c>
      <c r="N15" s="230">
        <v>0</v>
      </c>
      <c r="O15" s="220">
        <v>0</v>
      </c>
      <c r="P15" s="9"/>
      <c r="Q15" s="9"/>
      <c r="R15" s="9"/>
      <c r="S15" s="9"/>
    </row>
    <row r="16" spans="1:19">
      <c r="A16" s="484"/>
      <c r="C16" s="237" t="s">
        <v>188</v>
      </c>
      <c r="D16" s="240" t="s">
        <v>445</v>
      </c>
      <c r="E16" s="244" t="s">
        <v>206</v>
      </c>
      <c r="F16" s="247">
        <v>0</v>
      </c>
      <c r="G16" s="137">
        <v>200</v>
      </c>
      <c r="H16" s="253">
        <f>'Operational Data'!AQ31*2/'Assets Description'!G16</f>
        <v>0.45652000000000004</v>
      </c>
      <c r="I16" s="228">
        <v>49.8</v>
      </c>
      <c r="J16" s="259">
        <f>51.2-I16</f>
        <v>1.4000000000000057</v>
      </c>
      <c r="K16" s="137">
        <v>0</v>
      </c>
      <c r="L16" s="247">
        <v>0</v>
      </c>
      <c r="M16" s="137">
        <v>72</v>
      </c>
      <c r="N16" s="231">
        <v>6</v>
      </c>
      <c r="O16" s="228">
        <v>3.9</v>
      </c>
      <c r="P16" s="9"/>
      <c r="Q16" s="9"/>
      <c r="R16" s="9"/>
      <c r="S16" s="9"/>
    </row>
    <row r="17" spans="3:19">
      <c r="C17" s="74" t="s">
        <v>201</v>
      </c>
      <c r="D17" s="232"/>
      <c r="E17" s="74"/>
      <c r="F17" s="233">
        <f t="shared" ref="F17:O17" si="1">SUM(F13:F16)</f>
        <v>820</v>
      </c>
      <c r="G17" s="233">
        <f t="shared" si="1"/>
        <v>895</v>
      </c>
      <c r="H17" s="112">
        <f>SUM('Operational Data'!AQ27,'Operational Data'!AQ26,'Operational Data'!AQ31)*2/G17</f>
        <v>0.21494748603351954</v>
      </c>
      <c r="I17" s="234">
        <f t="shared" si="1"/>
        <v>55.4</v>
      </c>
      <c r="J17" s="234">
        <f t="shared" si="1"/>
        <v>16.200000000000006</v>
      </c>
      <c r="K17" s="233">
        <f t="shared" si="1"/>
        <v>6</v>
      </c>
      <c r="L17" s="233">
        <f t="shared" si="1"/>
        <v>1119.5999999999999</v>
      </c>
      <c r="M17" s="233">
        <f t="shared" si="1"/>
        <v>692</v>
      </c>
      <c r="N17" s="233">
        <f t="shared" si="1"/>
        <v>6</v>
      </c>
      <c r="O17" s="234">
        <f t="shared" si="1"/>
        <v>3.9</v>
      </c>
      <c r="P17" s="9"/>
      <c r="Q17" s="9"/>
      <c r="R17" s="9"/>
      <c r="S17" s="9"/>
    </row>
    <row r="18" spans="3:19">
      <c r="C18" s="22"/>
      <c r="F18" s="134"/>
      <c r="G18" s="134"/>
      <c r="H18" s="210"/>
      <c r="I18" s="135"/>
      <c r="J18" s="135"/>
      <c r="K18" s="134"/>
      <c r="L18" s="134"/>
      <c r="M18" s="82"/>
      <c r="N18" s="82"/>
      <c r="O18" s="136"/>
    </row>
    <row r="19" spans="3:19">
      <c r="C19" s="74" t="s">
        <v>632</v>
      </c>
      <c r="D19" s="232"/>
      <c r="E19" s="74"/>
      <c r="F19" s="233">
        <f t="shared" ref="F19:O19" si="2">F11+F17</f>
        <v>4160</v>
      </c>
      <c r="G19" s="233">
        <f t="shared" si="2"/>
        <v>3040</v>
      </c>
      <c r="H19" s="112">
        <f>('Operational Data'!Q20+'Operational Data'!Q26+'Operational Data'!Q27+'Operational Data'!Q31)/'Assets Description'!G19</f>
        <v>0.55288166118421056</v>
      </c>
      <c r="I19" s="234">
        <f t="shared" si="2"/>
        <v>239.6</v>
      </c>
      <c r="J19" s="234">
        <f t="shared" si="2"/>
        <v>155.10000000000002</v>
      </c>
      <c r="K19" s="233">
        <f t="shared" si="2"/>
        <v>30</v>
      </c>
      <c r="L19" s="233">
        <f t="shared" si="2"/>
        <v>6022.7999999999993</v>
      </c>
      <c r="M19" s="233">
        <f t="shared" si="2"/>
        <v>7757</v>
      </c>
      <c r="N19" s="233">
        <f t="shared" si="2"/>
        <v>38</v>
      </c>
      <c r="O19" s="234">
        <f t="shared" si="2"/>
        <v>24.799999999999997</v>
      </c>
    </row>
    <row r="20" spans="3:19">
      <c r="C20" s="22"/>
      <c r="F20" s="9"/>
      <c r="G20" s="9"/>
      <c r="H20" s="9"/>
      <c r="I20" s="9"/>
      <c r="J20" s="9"/>
      <c r="K20" s="9"/>
      <c r="L20" s="9"/>
    </row>
    <row r="21" spans="3:19">
      <c r="C21" s="72" t="s">
        <v>156</v>
      </c>
      <c r="F21" s="9"/>
      <c r="G21" s="9"/>
      <c r="H21" s="9"/>
      <c r="I21" s="9"/>
      <c r="J21" s="9"/>
      <c r="K21" s="9"/>
      <c r="L21" s="9"/>
    </row>
    <row r="22" spans="3:19">
      <c r="C22" s="22" t="s">
        <v>800</v>
      </c>
      <c r="G22" s="9"/>
      <c r="H22" s="9"/>
      <c r="I22" s="9"/>
      <c r="J22" s="9"/>
      <c r="K22" s="9"/>
      <c r="L22" s="9"/>
      <c r="M22" s="9"/>
    </row>
  </sheetData>
  <mergeCells count="14">
    <mergeCell ref="A7:A10"/>
    <mergeCell ref="A13:A16"/>
    <mergeCell ref="I5:J5"/>
    <mergeCell ref="F5:F6"/>
    <mergeCell ref="D5:D6"/>
    <mergeCell ref="H14:H15"/>
    <mergeCell ref="M5:M6"/>
    <mergeCell ref="N5:N6"/>
    <mergeCell ref="O5:O6"/>
    <mergeCell ref="G5:G6"/>
    <mergeCell ref="E5:E6"/>
    <mergeCell ref="K5:K6"/>
    <mergeCell ref="L5:L6"/>
    <mergeCell ref="H5:H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7F83"/>
    <pageSetUpPr fitToPage="1"/>
  </sheetPr>
  <dimension ref="A2:W230"/>
  <sheetViews>
    <sheetView zoomScale="80" zoomScaleNormal="80" workbookViewId="0">
      <selection activeCell="R56" sqref="R56"/>
    </sheetView>
  </sheetViews>
  <sheetFormatPr defaultColWidth="9.140625" defaultRowHeight="12" outlineLevelCol="1"/>
  <cols>
    <col min="1" max="1" width="2.140625" style="9" customWidth="1"/>
    <col min="2" max="2" width="7.85546875" style="19" customWidth="1"/>
    <col min="3" max="3" width="1.7109375" style="19" customWidth="1"/>
    <col min="4" max="4" width="69" style="9" customWidth="1"/>
    <col min="5" max="5" width="13.85546875" style="23" customWidth="1"/>
    <col min="6" max="7" width="28" style="23" customWidth="1"/>
    <col min="8" max="21" width="9.140625" style="9"/>
    <col min="22" max="22" width="38" style="9" hidden="1" customWidth="1" outlineLevel="1"/>
    <col min="23" max="23" width="9.140625" style="9" collapsed="1"/>
    <col min="24" max="16384" width="9.140625" style="9"/>
  </cols>
  <sheetData>
    <row r="2" spans="1:22">
      <c r="B2" s="9"/>
    </row>
    <row r="3" spans="1:22" ht="12.75">
      <c r="B3" s="96"/>
      <c r="D3" s="96" t="s">
        <v>157</v>
      </c>
    </row>
    <row r="4" spans="1:22" s="22" customFormat="1">
      <c r="B4" s="20"/>
      <c r="C4" s="20"/>
      <c r="E4" s="28"/>
    </row>
    <row r="5" spans="1:22" s="22" customFormat="1">
      <c r="A5" s="196"/>
      <c r="B5" s="197"/>
      <c r="C5" s="197"/>
      <c r="D5" s="30"/>
      <c r="E5" s="42" t="s">
        <v>423</v>
      </c>
      <c r="F5" s="42">
        <v>2018</v>
      </c>
      <c r="G5" s="42">
        <v>2019</v>
      </c>
      <c r="V5" s="31" t="s">
        <v>243</v>
      </c>
    </row>
    <row r="6" spans="1:22" s="22" customFormat="1" ht="12.75">
      <c r="B6" s="20"/>
      <c r="C6" s="20"/>
      <c r="D6" s="57" t="s">
        <v>126</v>
      </c>
      <c r="E6" s="56"/>
      <c r="F6" s="56"/>
      <c r="G6" s="56"/>
      <c r="V6" s="56"/>
    </row>
    <row r="7" spans="1:22" ht="12" customHeight="1">
      <c r="B7" s="467" t="s">
        <v>411</v>
      </c>
      <c r="C7" s="34"/>
      <c r="D7" s="33" t="s">
        <v>120</v>
      </c>
      <c r="E7" s="43" t="s">
        <v>121</v>
      </c>
      <c r="F7" s="43">
        <v>41.9</v>
      </c>
      <c r="G7" s="428">
        <v>42</v>
      </c>
      <c r="V7" s="33" t="s">
        <v>244</v>
      </c>
    </row>
    <row r="8" spans="1:22">
      <c r="B8" s="467"/>
      <c r="C8" s="34"/>
      <c r="D8" s="36" t="s">
        <v>123</v>
      </c>
      <c r="E8" s="44" t="s">
        <v>122</v>
      </c>
      <c r="F8" s="44">
        <v>9.1</v>
      </c>
      <c r="G8" s="44">
        <v>13.9</v>
      </c>
      <c r="V8" s="36" t="s">
        <v>245</v>
      </c>
    </row>
    <row r="9" spans="1:22">
      <c r="B9" s="467"/>
      <c r="C9" s="34"/>
      <c r="D9" s="36" t="s">
        <v>394</v>
      </c>
      <c r="E9" s="44" t="s">
        <v>130</v>
      </c>
      <c r="F9" s="44">
        <v>0</v>
      </c>
      <c r="G9" s="44">
        <v>0</v>
      </c>
      <c r="V9" s="36" t="s">
        <v>246</v>
      </c>
    </row>
    <row r="10" spans="1:22">
      <c r="B10" s="467"/>
      <c r="C10" s="34"/>
      <c r="D10" s="36"/>
      <c r="E10" s="44"/>
      <c r="F10" s="44"/>
      <c r="G10" s="44"/>
      <c r="V10" s="36"/>
    </row>
    <row r="11" spans="1:22">
      <c r="B11" s="467"/>
      <c r="C11" s="34"/>
      <c r="D11" s="36"/>
      <c r="E11" s="44"/>
      <c r="F11" s="44"/>
      <c r="G11" s="44"/>
      <c r="V11" s="36"/>
    </row>
    <row r="12" spans="1:22">
      <c r="B12" s="467"/>
      <c r="C12" s="34"/>
      <c r="D12" s="36"/>
      <c r="E12" s="44"/>
      <c r="F12" s="44"/>
      <c r="G12" s="44"/>
      <c r="V12" s="36"/>
    </row>
    <row r="13" spans="1:22" ht="24">
      <c r="B13" s="467"/>
      <c r="C13" s="34"/>
      <c r="D13" s="37" t="s">
        <v>131</v>
      </c>
      <c r="E13" s="44" t="s">
        <v>133</v>
      </c>
      <c r="F13" s="44">
        <v>2.14</v>
      </c>
      <c r="G13" s="44">
        <v>2.08</v>
      </c>
      <c r="V13" s="36"/>
    </row>
    <row r="14" spans="1:22">
      <c r="B14" s="467"/>
      <c r="C14" s="34"/>
      <c r="D14" s="37" t="s">
        <v>132</v>
      </c>
      <c r="E14" s="44" t="s">
        <v>134</v>
      </c>
      <c r="F14" s="44">
        <v>0.45</v>
      </c>
      <c r="G14" s="44">
        <v>0.67</v>
      </c>
      <c r="V14" s="36"/>
    </row>
    <row r="15" spans="1:22" ht="24">
      <c r="B15" s="467"/>
      <c r="C15" s="34"/>
      <c r="D15" s="13" t="s">
        <v>136</v>
      </c>
      <c r="E15" s="45" t="s">
        <v>135</v>
      </c>
      <c r="F15" s="45">
        <v>119</v>
      </c>
      <c r="G15" s="45">
        <v>120</v>
      </c>
    </row>
    <row r="16" spans="1:22" ht="12.75">
      <c r="D16" s="58" t="s">
        <v>128</v>
      </c>
      <c r="E16" s="55"/>
      <c r="F16" s="55"/>
      <c r="G16" s="55"/>
      <c r="V16" s="55"/>
    </row>
    <row r="17" spans="2:23">
      <c r="B17" s="462" t="s">
        <v>410</v>
      </c>
      <c r="C17" s="34"/>
      <c r="D17" s="36" t="s">
        <v>127</v>
      </c>
      <c r="E17" s="44"/>
      <c r="F17" s="44"/>
      <c r="G17" s="44"/>
      <c r="V17" s="36"/>
    </row>
    <row r="18" spans="2:23">
      <c r="B18" s="462"/>
      <c r="C18" s="34"/>
      <c r="D18" s="38" t="s">
        <v>149</v>
      </c>
      <c r="E18" s="44" t="s">
        <v>130</v>
      </c>
      <c r="F18" s="46">
        <v>0.67</v>
      </c>
      <c r="G18" s="46">
        <v>0.67999999999999994</v>
      </c>
      <c r="V18" s="36"/>
      <c r="W18" s="29"/>
    </row>
    <row r="19" spans="2:23">
      <c r="B19" s="462"/>
      <c r="C19" s="34"/>
      <c r="D19" s="38" t="s">
        <v>150</v>
      </c>
      <c r="E19" s="44" t="s">
        <v>130</v>
      </c>
      <c r="F19" s="46">
        <v>0.33</v>
      </c>
      <c r="G19" s="46">
        <v>0.32</v>
      </c>
      <c r="V19" s="36" t="s">
        <v>247</v>
      </c>
    </row>
    <row r="20" spans="2:23">
      <c r="B20" s="462"/>
      <c r="C20" s="34"/>
      <c r="D20" s="36" t="s">
        <v>124</v>
      </c>
      <c r="E20" s="44"/>
      <c r="F20" s="44"/>
      <c r="G20" s="44"/>
      <c r="V20" s="36"/>
    </row>
    <row r="21" spans="2:23">
      <c r="B21" s="462"/>
      <c r="C21" s="34"/>
      <c r="D21" s="38" t="s">
        <v>149</v>
      </c>
      <c r="E21" s="44" t="s">
        <v>130</v>
      </c>
      <c r="F21" s="46">
        <v>0.35</v>
      </c>
      <c r="G21" s="46">
        <v>0.35</v>
      </c>
      <c r="V21" s="36"/>
    </row>
    <row r="22" spans="2:23">
      <c r="B22" s="462"/>
      <c r="C22" s="34"/>
      <c r="D22" s="38" t="s">
        <v>150</v>
      </c>
      <c r="E22" s="44" t="s">
        <v>130</v>
      </c>
      <c r="F22" s="46">
        <v>0.65</v>
      </c>
      <c r="G22" s="46">
        <v>0.65</v>
      </c>
      <c r="V22" s="36"/>
    </row>
    <row r="23" spans="2:23">
      <c r="B23" s="462"/>
      <c r="C23" s="34"/>
      <c r="D23" s="36" t="s">
        <v>125</v>
      </c>
      <c r="E23" s="44"/>
      <c r="F23" s="44"/>
      <c r="G23" s="44"/>
      <c r="V23" s="36"/>
    </row>
    <row r="24" spans="2:23">
      <c r="B24" s="462"/>
      <c r="C24" s="34"/>
      <c r="D24" s="38" t="s">
        <v>149</v>
      </c>
      <c r="E24" s="44" t="s">
        <v>130</v>
      </c>
      <c r="F24" s="46">
        <v>0.73</v>
      </c>
      <c r="G24" s="46">
        <v>0.73</v>
      </c>
      <c r="V24" s="36"/>
    </row>
    <row r="25" spans="2:23">
      <c r="B25" s="462"/>
      <c r="C25" s="34"/>
      <c r="D25" s="38" t="s">
        <v>150</v>
      </c>
      <c r="E25" s="44" t="s">
        <v>130</v>
      </c>
      <c r="F25" s="46">
        <v>0.27</v>
      </c>
      <c r="G25" s="46">
        <v>0.27</v>
      </c>
      <c r="V25" s="36"/>
    </row>
    <row r="26" spans="2:23">
      <c r="B26" s="462"/>
      <c r="C26" s="34"/>
      <c r="D26" s="36" t="s">
        <v>142</v>
      </c>
      <c r="E26" s="44"/>
      <c r="F26" s="44"/>
      <c r="G26" s="44"/>
      <c r="V26" s="36"/>
    </row>
    <row r="27" spans="2:23">
      <c r="B27" s="462"/>
      <c r="C27" s="34"/>
      <c r="D27" s="38" t="s">
        <v>149</v>
      </c>
      <c r="E27" s="44" t="s">
        <v>130</v>
      </c>
      <c r="F27" s="46">
        <f>1-F28</f>
        <v>0.87</v>
      </c>
      <c r="G27" s="46">
        <v>0.87</v>
      </c>
      <c r="V27" s="36"/>
    </row>
    <row r="28" spans="2:23">
      <c r="B28" s="462"/>
      <c r="C28" s="34"/>
      <c r="D28" s="38" t="s">
        <v>150</v>
      </c>
      <c r="E28" s="44" t="s">
        <v>130</v>
      </c>
      <c r="F28" s="46">
        <v>0.13</v>
      </c>
      <c r="G28" s="46">
        <v>0.125</v>
      </c>
      <c r="V28" s="36" t="s">
        <v>248</v>
      </c>
    </row>
    <row r="29" spans="2:23">
      <c r="D29" s="24"/>
      <c r="E29" s="45"/>
      <c r="F29" s="47"/>
      <c r="G29" s="47"/>
    </row>
    <row r="30" spans="2:23" ht="12.75" customHeight="1">
      <c r="B30" s="490" t="s">
        <v>412</v>
      </c>
      <c r="C30" s="70"/>
      <c r="D30" s="36" t="s">
        <v>117</v>
      </c>
      <c r="E30" s="44" t="s">
        <v>471</v>
      </c>
      <c r="F30" s="44">
        <v>1.28</v>
      </c>
      <c r="G30" s="44">
        <v>0.55000000000000004</v>
      </c>
      <c r="V30" s="36"/>
    </row>
    <row r="31" spans="2:23">
      <c r="B31" s="490"/>
      <c r="C31" s="70"/>
      <c r="D31" s="36" t="s">
        <v>118</v>
      </c>
      <c r="E31" s="44" t="s">
        <v>471</v>
      </c>
      <c r="F31" s="44">
        <v>0</v>
      </c>
      <c r="G31" s="44">
        <v>1</v>
      </c>
      <c r="V31" s="36" t="s">
        <v>249</v>
      </c>
    </row>
    <row r="32" spans="2:23">
      <c r="B32" s="490"/>
      <c r="C32" s="70"/>
      <c r="D32" s="36" t="s">
        <v>119</v>
      </c>
      <c r="E32" s="44" t="s">
        <v>471</v>
      </c>
      <c r="F32" s="44">
        <v>0</v>
      </c>
      <c r="G32" s="429">
        <v>0.34843205574912889</v>
      </c>
      <c r="V32" s="36" t="s">
        <v>250</v>
      </c>
    </row>
    <row r="33" spans="2:22">
      <c r="E33" s="45"/>
      <c r="F33" s="45"/>
      <c r="G33" s="45"/>
    </row>
    <row r="34" spans="2:22" ht="12" customHeight="1">
      <c r="B34" s="464" t="s">
        <v>413</v>
      </c>
      <c r="C34" s="71"/>
      <c r="D34" s="36" t="s">
        <v>137</v>
      </c>
      <c r="E34" s="44"/>
      <c r="F34" s="44"/>
      <c r="G34" s="44"/>
      <c r="V34" s="36"/>
    </row>
    <row r="35" spans="2:22">
      <c r="B35" s="464"/>
      <c r="C35" s="71"/>
      <c r="D35" s="38" t="s">
        <v>139</v>
      </c>
      <c r="E35" s="44" t="s">
        <v>130</v>
      </c>
      <c r="F35" s="46">
        <v>0.26</v>
      </c>
      <c r="G35" s="46">
        <v>0.40201879568395404</v>
      </c>
      <c r="V35" s="36"/>
    </row>
    <row r="36" spans="2:22">
      <c r="B36" s="464"/>
      <c r="C36" s="71"/>
      <c r="D36" s="38" t="s">
        <v>138</v>
      </c>
      <c r="E36" s="44" t="s">
        <v>130</v>
      </c>
      <c r="F36" s="46">
        <v>0.23</v>
      </c>
      <c r="G36" s="46">
        <v>0.19352593108249216</v>
      </c>
      <c r="V36" s="36"/>
    </row>
    <row r="37" spans="2:22">
      <c r="B37" s="464"/>
      <c r="C37" s="71"/>
      <c r="D37" s="38" t="s">
        <v>141</v>
      </c>
      <c r="E37" s="44" t="s">
        <v>130</v>
      </c>
      <c r="F37" s="46">
        <v>0.3</v>
      </c>
      <c r="G37" s="46">
        <v>0.28123912286808217</v>
      </c>
      <c r="V37" s="36"/>
    </row>
    <row r="38" spans="2:22">
      <c r="B38" s="464"/>
      <c r="C38" s="71"/>
      <c r="D38" s="38" t="s">
        <v>140</v>
      </c>
      <c r="E38" s="44" t="s">
        <v>130</v>
      </c>
      <c r="F38" s="46">
        <v>0.21</v>
      </c>
      <c r="G38" s="46">
        <v>0.12321615036547164</v>
      </c>
      <c r="V38" s="36"/>
    </row>
    <row r="39" spans="2:22">
      <c r="B39" s="464"/>
      <c r="C39" s="71"/>
      <c r="D39" s="36" t="s">
        <v>251</v>
      </c>
      <c r="E39" s="44" t="s">
        <v>471</v>
      </c>
      <c r="F39" s="181">
        <v>7</v>
      </c>
      <c r="G39" s="181">
        <v>7</v>
      </c>
      <c r="V39" s="36" t="s">
        <v>252</v>
      </c>
    </row>
    <row r="40" spans="2:22">
      <c r="B40" s="464"/>
      <c r="C40" s="71"/>
      <c r="D40" s="36" t="s">
        <v>253</v>
      </c>
      <c r="E40" s="44" t="s">
        <v>471</v>
      </c>
      <c r="F40" s="181">
        <v>0</v>
      </c>
      <c r="G40" s="181">
        <v>0</v>
      </c>
      <c r="V40" s="36" t="s">
        <v>254</v>
      </c>
    </row>
    <row r="41" spans="2:22">
      <c r="B41" s="464"/>
      <c r="C41" s="71"/>
      <c r="D41" s="36" t="s">
        <v>255</v>
      </c>
      <c r="E41" s="44" t="s">
        <v>422</v>
      </c>
      <c r="F41" s="46" t="s">
        <v>256</v>
      </c>
      <c r="G41" s="46" t="s">
        <v>256</v>
      </c>
      <c r="V41" s="36" t="s">
        <v>257</v>
      </c>
    </row>
    <row r="42" spans="2:22">
      <c r="B42" s="464"/>
      <c r="C42" s="71"/>
      <c r="D42" s="36" t="s">
        <v>258</v>
      </c>
      <c r="E42" s="44" t="s">
        <v>422</v>
      </c>
      <c r="F42" s="46" t="s">
        <v>256</v>
      </c>
      <c r="G42" s="46" t="s">
        <v>256</v>
      </c>
      <c r="V42" s="36" t="s">
        <v>259</v>
      </c>
    </row>
    <row r="43" spans="2:22">
      <c r="B43" s="464"/>
      <c r="C43" s="71"/>
      <c r="D43" s="36" t="s">
        <v>260</v>
      </c>
      <c r="E43" s="44" t="s">
        <v>471</v>
      </c>
      <c r="F43" s="181">
        <v>2700</v>
      </c>
      <c r="G43" s="181">
        <v>2870</v>
      </c>
      <c r="V43" s="9" t="s">
        <v>261</v>
      </c>
    </row>
    <row r="44" spans="2:22">
      <c r="B44" s="464"/>
      <c r="C44" s="71"/>
      <c r="D44" s="36" t="s">
        <v>788</v>
      </c>
      <c r="E44" s="44" t="s">
        <v>471</v>
      </c>
      <c r="F44" s="436" t="s">
        <v>768</v>
      </c>
      <c r="G44" s="181">
        <v>5</v>
      </c>
      <c r="V44" s="9" t="s">
        <v>789</v>
      </c>
    </row>
    <row r="45" spans="2:22">
      <c r="B45" s="464"/>
      <c r="C45" s="71"/>
      <c r="D45" s="36" t="s">
        <v>790</v>
      </c>
      <c r="E45" s="44" t="s">
        <v>130</v>
      </c>
      <c r="F45" s="436" t="s">
        <v>768</v>
      </c>
      <c r="G45" s="48">
        <v>0.12</v>
      </c>
    </row>
    <row r="46" spans="2:22">
      <c r="B46" s="464"/>
      <c r="C46" s="71"/>
      <c r="D46" s="36" t="s">
        <v>791</v>
      </c>
      <c r="E46" s="44" t="s">
        <v>130</v>
      </c>
      <c r="F46" s="436" t="s">
        <v>768</v>
      </c>
      <c r="G46" s="48">
        <v>0.09</v>
      </c>
    </row>
    <row r="47" spans="2:22">
      <c r="B47" s="464"/>
      <c r="C47" s="71"/>
      <c r="D47" s="36" t="s">
        <v>792</v>
      </c>
      <c r="E47" s="44" t="s">
        <v>130</v>
      </c>
      <c r="F47" s="436" t="s">
        <v>768</v>
      </c>
      <c r="G47" s="48">
        <v>0.02</v>
      </c>
    </row>
    <row r="48" spans="2:22">
      <c r="B48" s="464"/>
      <c r="C48" s="71"/>
      <c r="D48" s="36" t="s">
        <v>793</v>
      </c>
      <c r="E48" s="44" t="s">
        <v>794</v>
      </c>
      <c r="F48" s="436" t="s">
        <v>768</v>
      </c>
      <c r="G48" s="439">
        <v>0.121741</v>
      </c>
    </row>
    <row r="49" spans="2:22" ht="12.75">
      <c r="D49" s="58" t="s">
        <v>129</v>
      </c>
      <c r="E49" s="55"/>
      <c r="F49" s="55"/>
      <c r="G49" s="55"/>
      <c r="V49" s="55"/>
    </row>
    <row r="50" spans="2:22" ht="12" customHeight="1">
      <c r="B50" s="462" t="s">
        <v>416</v>
      </c>
      <c r="C50" s="34"/>
      <c r="D50" s="25" t="s">
        <v>143</v>
      </c>
      <c r="E50" s="44" t="s">
        <v>471</v>
      </c>
      <c r="F50" s="45">
        <v>15</v>
      </c>
      <c r="G50" s="45">
        <v>11</v>
      </c>
      <c r="V50" s="9" t="s">
        <v>262</v>
      </c>
    </row>
    <row r="51" spans="2:22">
      <c r="B51" s="462"/>
      <c r="C51" s="34"/>
      <c r="D51" s="36" t="s">
        <v>476</v>
      </c>
      <c r="E51" s="44" t="s">
        <v>471</v>
      </c>
      <c r="F51" s="44">
        <v>3</v>
      </c>
      <c r="G51" s="44">
        <v>3</v>
      </c>
      <c r="V51" s="36" t="s">
        <v>263</v>
      </c>
    </row>
    <row r="52" spans="2:22">
      <c r="B52" s="462"/>
      <c r="C52" s="34"/>
      <c r="D52" s="36" t="s">
        <v>477</v>
      </c>
      <c r="E52" s="44" t="s">
        <v>130</v>
      </c>
      <c r="F52" s="48">
        <f>F51/F50</f>
        <v>0.2</v>
      </c>
      <c r="G52" s="48">
        <v>0.27272727272727271</v>
      </c>
      <c r="V52" s="36" t="s">
        <v>264</v>
      </c>
    </row>
    <row r="53" spans="2:22">
      <c r="B53" s="462"/>
      <c r="C53" s="34"/>
      <c r="D53" s="36" t="s">
        <v>478</v>
      </c>
      <c r="E53" s="44" t="s">
        <v>471</v>
      </c>
      <c r="F53" s="44">
        <v>1</v>
      </c>
      <c r="G53" s="44">
        <v>0</v>
      </c>
      <c r="V53" s="36"/>
    </row>
    <row r="54" spans="2:22">
      <c r="B54" s="462"/>
      <c r="C54" s="34"/>
      <c r="D54" s="39" t="s">
        <v>479</v>
      </c>
      <c r="E54" s="44" t="s">
        <v>471</v>
      </c>
      <c r="F54" s="44">
        <v>14</v>
      </c>
      <c r="G54" s="44">
        <v>11</v>
      </c>
      <c r="V54" s="36" t="s">
        <v>265</v>
      </c>
    </row>
    <row r="55" spans="2:22">
      <c r="B55" s="462"/>
      <c r="C55" s="34"/>
      <c r="D55" s="36" t="s">
        <v>480</v>
      </c>
      <c r="E55" s="44" t="s">
        <v>130</v>
      </c>
      <c r="F55" s="49">
        <f>14/15</f>
        <v>0.93333333333333335</v>
      </c>
      <c r="G55" s="49">
        <v>1</v>
      </c>
      <c r="V55" s="36" t="s">
        <v>266</v>
      </c>
    </row>
    <row r="56" spans="2:22">
      <c r="B56" s="462"/>
      <c r="C56" s="34"/>
      <c r="D56" s="36" t="s">
        <v>144</v>
      </c>
      <c r="E56" s="44"/>
      <c r="F56" s="44"/>
      <c r="G56" s="44"/>
      <c r="V56" s="36"/>
    </row>
    <row r="57" spans="2:22">
      <c r="B57" s="462"/>
      <c r="C57" s="34"/>
      <c r="D57" s="38" t="s">
        <v>146</v>
      </c>
      <c r="E57" s="44" t="s">
        <v>130</v>
      </c>
      <c r="F57" s="46">
        <v>0.47</v>
      </c>
      <c r="G57" s="46">
        <v>0.36</v>
      </c>
      <c r="V57" s="36"/>
    </row>
    <row r="58" spans="2:22">
      <c r="B58" s="462"/>
      <c r="C58" s="34"/>
      <c r="D58" s="38" t="s">
        <v>147</v>
      </c>
      <c r="E58" s="44" t="s">
        <v>130</v>
      </c>
      <c r="F58" s="46">
        <v>0.33</v>
      </c>
      <c r="G58" s="46">
        <v>0.64</v>
      </c>
      <c r="V58" s="36"/>
    </row>
    <row r="59" spans="2:22">
      <c r="B59" s="462"/>
      <c r="C59" s="34"/>
      <c r="D59" s="38" t="s">
        <v>145</v>
      </c>
      <c r="E59" s="44" t="s">
        <v>130</v>
      </c>
      <c r="F59" s="46">
        <v>0.2</v>
      </c>
      <c r="G59" s="46">
        <v>0</v>
      </c>
      <c r="V59" s="36"/>
    </row>
    <row r="60" spans="2:22">
      <c r="B60" s="462"/>
      <c r="C60" s="34"/>
      <c r="D60" s="39" t="s">
        <v>382</v>
      </c>
      <c r="E60" s="44" t="s">
        <v>471</v>
      </c>
      <c r="F60" s="181">
        <v>21</v>
      </c>
      <c r="G60" s="181">
        <v>18</v>
      </c>
      <c r="V60" s="36" t="s">
        <v>383</v>
      </c>
    </row>
    <row r="61" spans="2:22">
      <c r="B61" s="462"/>
      <c r="C61" s="34"/>
      <c r="D61" s="36" t="s">
        <v>384</v>
      </c>
      <c r="E61" s="44" t="s">
        <v>130</v>
      </c>
      <c r="F61" s="438">
        <v>0.92379999999999995</v>
      </c>
      <c r="G61" s="438">
        <v>0.96</v>
      </c>
      <c r="V61" s="36" t="s">
        <v>385</v>
      </c>
    </row>
    <row r="62" spans="2:22" ht="12.75" customHeight="1">
      <c r="B62" s="462"/>
      <c r="C62" s="34"/>
      <c r="D62" s="36" t="s">
        <v>388</v>
      </c>
      <c r="E62" s="44" t="s">
        <v>471</v>
      </c>
      <c r="F62" s="44">
        <v>0</v>
      </c>
      <c r="G62" s="44">
        <v>1</v>
      </c>
      <c r="V62" s="36" t="s">
        <v>389</v>
      </c>
    </row>
    <row r="63" spans="2:22">
      <c r="B63" s="462"/>
      <c r="C63" s="34"/>
      <c r="D63" s="36" t="s">
        <v>402</v>
      </c>
      <c r="E63" s="44" t="s">
        <v>130</v>
      </c>
      <c r="F63" s="51">
        <v>0.98399999999999999</v>
      </c>
      <c r="G63" s="51">
        <v>0.98099999999999998</v>
      </c>
      <c r="V63" s="36" t="s">
        <v>403</v>
      </c>
    </row>
    <row r="64" spans="2:22">
      <c r="B64" s="462"/>
      <c r="C64" s="34"/>
      <c r="D64" s="36" t="s">
        <v>481</v>
      </c>
      <c r="E64" s="44" t="s">
        <v>471</v>
      </c>
      <c r="F64" s="182">
        <v>1</v>
      </c>
      <c r="G64" s="182">
        <v>0</v>
      </c>
      <c r="V64" s="36" t="s">
        <v>483</v>
      </c>
    </row>
    <row r="65" spans="2:22">
      <c r="B65" s="462"/>
      <c r="C65" s="34"/>
      <c r="D65" s="36" t="s">
        <v>482</v>
      </c>
      <c r="E65" s="44" t="s">
        <v>471</v>
      </c>
      <c r="F65" s="182">
        <v>2</v>
      </c>
      <c r="G65" s="182">
        <v>0</v>
      </c>
      <c r="V65" s="36" t="s">
        <v>484</v>
      </c>
    </row>
    <row r="66" spans="2:22">
      <c r="B66" s="462"/>
      <c r="C66" s="34"/>
      <c r="D66" s="36" t="s">
        <v>485</v>
      </c>
      <c r="E66" s="44"/>
      <c r="F66" s="182" t="s">
        <v>486</v>
      </c>
      <c r="G66" s="182" t="s">
        <v>375</v>
      </c>
      <c r="V66" s="36" t="s">
        <v>487</v>
      </c>
    </row>
    <row r="67" spans="2:22">
      <c r="B67" s="462"/>
      <c r="C67" s="34"/>
      <c r="D67" s="36" t="s">
        <v>373</v>
      </c>
      <c r="E67" s="44"/>
      <c r="F67" s="44" t="s">
        <v>375</v>
      </c>
      <c r="G67" s="44" t="s">
        <v>375</v>
      </c>
      <c r="V67" s="36" t="s">
        <v>374</v>
      </c>
    </row>
    <row r="68" spans="2:22">
      <c r="B68" s="462"/>
      <c r="C68" s="34"/>
      <c r="D68" s="36" t="s">
        <v>267</v>
      </c>
      <c r="E68" s="44" t="s">
        <v>422</v>
      </c>
      <c r="F68" s="44" t="s">
        <v>268</v>
      </c>
      <c r="G68" s="44" t="s">
        <v>268</v>
      </c>
      <c r="V68" s="36" t="s">
        <v>269</v>
      </c>
    </row>
    <row r="69" spans="2:22">
      <c r="B69" s="462"/>
      <c r="C69" s="34"/>
      <c r="D69" s="36" t="s">
        <v>283</v>
      </c>
      <c r="E69" s="44" t="s">
        <v>472</v>
      </c>
      <c r="F69" s="44" t="s">
        <v>284</v>
      </c>
      <c r="G69" s="44" t="s">
        <v>284</v>
      </c>
      <c r="V69" s="36" t="s">
        <v>285</v>
      </c>
    </row>
    <row r="70" spans="2:22">
      <c r="B70" s="462"/>
      <c r="C70" s="34"/>
      <c r="D70" s="36" t="s">
        <v>292</v>
      </c>
      <c r="E70" s="44" t="s">
        <v>471</v>
      </c>
      <c r="F70" s="44">
        <v>5</v>
      </c>
      <c r="G70" s="44">
        <v>4</v>
      </c>
      <c r="V70" s="36" t="s">
        <v>293</v>
      </c>
    </row>
    <row r="71" spans="2:22" ht="12.75" customHeight="1">
      <c r="B71" s="462"/>
      <c r="C71" s="34"/>
      <c r="D71" s="36" t="s">
        <v>404</v>
      </c>
      <c r="E71" s="44" t="s">
        <v>422</v>
      </c>
      <c r="F71" s="44" t="s">
        <v>268</v>
      </c>
      <c r="G71" s="44" t="s">
        <v>268</v>
      </c>
      <c r="V71" s="36" t="s">
        <v>405</v>
      </c>
    </row>
    <row r="72" spans="2:22">
      <c r="B72" s="462"/>
      <c r="C72" s="34"/>
      <c r="D72" s="36" t="s">
        <v>390</v>
      </c>
      <c r="E72" s="44" t="s">
        <v>422</v>
      </c>
      <c r="F72" s="44" t="s">
        <v>268</v>
      </c>
      <c r="G72" s="44" t="s">
        <v>268</v>
      </c>
      <c r="V72" s="36" t="s">
        <v>391</v>
      </c>
    </row>
    <row r="73" spans="2:22">
      <c r="B73" s="462"/>
      <c r="C73" s="34"/>
      <c r="D73" s="36" t="s">
        <v>503</v>
      </c>
      <c r="E73" s="44" t="s">
        <v>471</v>
      </c>
      <c r="F73" s="44">
        <v>0</v>
      </c>
      <c r="G73" s="44">
        <v>0</v>
      </c>
      <c r="V73" s="36" t="s">
        <v>504</v>
      </c>
    </row>
    <row r="74" spans="2:22">
      <c r="B74" s="462"/>
      <c r="C74" s="34"/>
      <c r="D74" s="36" t="s">
        <v>360</v>
      </c>
      <c r="E74" s="44" t="s">
        <v>422</v>
      </c>
      <c r="F74" s="44" t="s">
        <v>268</v>
      </c>
      <c r="G74" s="44" t="s">
        <v>268</v>
      </c>
      <c r="V74" s="36" t="s">
        <v>361</v>
      </c>
    </row>
    <row r="75" spans="2:22" ht="12.75" customHeight="1">
      <c r="B75" s="462"/>
      <c r="C75" s="34"/>
      <c r="D75" s="36" t="s">
        <v>408</v>
      </c>
      <c r="E75" s="44" t="s">
        <v>422</v>
      </c>
      <c r="F75" s="44" t="s">
        <v>256</v>
      </c>
      <c r="G75" s="44" t="s">
        <v>268</v>
      </c>
      <c r="V75" s="36" t="s">
        <v>409</v>
      </c>
    </row>
    <row r="76" spans="2:22">
      <c r="B76" s="462"/>
      <c r="C76" s="34"/>
      <c r="D76" s="36" t="s">
        <v>300</v>
      </c>
      <c r="E76" s="44" t="s">
        <v>471</v>
      </c>
      <c r="F76" s="44">
        <v>3</v>
      </c>
      <c r="G76" s="44">
        <v>3</v>
      </c>
      <c r="V76" s="36" t="s">
        <v>301</v>
      </c>
    </row>
    <row r="77" spans="2:22" ht="12.75" customHeight="1">
      <c r="B77" s="462"/>
      <c r="C77" s="34"/>
      <c r="D77" s="36" t="s">
        <v>406</v>
      </c>
      <c r="E77" s="44" t="s">
        <v>130</v>
      </c>
      <c r="F77" s="50">
        <v>0.13300000000000001</v>
      </c>
      <c r="G77" s="50">
        <v>0.18179999999999999</v>
      </c>
      <c r="V77" s="36" t="s">
        <v>407</v>
      </c>
    </row>
    <row r="78" spans="2:22" ht="12.75" customHeight="1">
      <c r="B78" s="462"/>
      <c r="C78" s="34"/>
      <c r="D78" s="36" t="s">
        <v>509</v>
      </c>
      <c r="E78" s="44" t="s">
        <v>471</v>
      </c>
      <c r="F78" s="44">
        <v>0</v>
      </c>
      <c r="G78" s="44">
        <v>0</v>
      </c>
      <c r="V78" s="36" t="s">
        <v>511</v>
      </c>
    </row>
    <row r="79" spans="2:22" ht="12.75" customHeight="1">
      <c r="B79" s="462"/>
      <c r="C79" s="34"/>
      <c r="D79" s="36" t="s">
        <v>510</v>
      </c>
      <c r="E79" s="44" t="s">
        <v>130</v>
      </c>
      <c r="F79" s="44">
        <v>0</v>
      </c>
      <c r="G79" s="44">
        <v>0</v>
      </c>
      <c r="V79" s="36" t="s">
        <v>512</v>
      </c>
    </row>
    <row r="80" spans="2:22" ht="12.75" customHeight="1">
      <c r="B80" s="462"/>
      <c r="C80" s="34"/>
      <c r="D80" s="36" t="s">
        <v>513</v>
      </c>
      <c r="E80" s="44" t="s">
        <v>471</v>
      </c>
      <c r="F80" s="44">
        <v>3</v>
      </c>
      <c r="G80" s="44">
        <v>3</v>
      </c>
      <c r="V80" s="36" t="s">
        <v>514</v>
      </c>
    </row>
    <row r="81" spans="2:22" ht="12.75" customHeight="1">
      <c r="B81" s="34"/>
      <c r="C81" s="34"/>
      <c r="E81" s="45"/>
      <c r="F81" s="52"/>
      <c r="G81" s="52"/>
    </row>
    <row r="82" spans="2:22">
      <c r="B82" s="488" t="s">
        <v>700</v>
      </c>
      <c r="C82" s="34"/>
      <c r="D82" s="183" t="s">
        <v>392</v>
      </c>
      <c r="E82" s="44"/>
      <c r="F82" s="44" t="s">
        <v>393</v>
      </c>
      <c r="G82" s="44" t="s">
        <v>393</v>
      </c>
      <c r="V82" s="36" t="s">
        <v>395</v>
      </c>
    </row>
    <row r="83" spans="2:22">
      <c r="B83" s="489"/>
      <c r="C83" s="34"/>
      <c r="D83" s="36" t="s">
        <v>353</v>
      </c>
      <c r="E83" s="44" t="s">
        <v>472</v>
      </c>
      <c r="F83" s="184" t="s">
        <v>358</v>
      </c>
      <c r="G83" s="184" t="s">
        <v>358</v>
      </c>
      <c r="V83" s="36" t="s">
        <v>418</v>
      </c>
    </row>
    <row r="84" spans="2:22">
      <c r="B84" s="489"/>
      <c r="C84" s="34"/>
      <c r="D84" s="36" t="s">
        <v>398</v>
      </c>
      <c r="E84" s="44" t="s">
        <v>422</v>
      </c>
      <c r="F84" s="44" t="s">
        <v>268</v>
      </c>
      <c r="G84" s="44" t="s">
        <v>268</v>
      </c>
      <c r="V84" s="36" t="s">
        <v>399</v>
      </c>
    </row>
    <row r="85" spans="2:22" ht="12" customHeight="1">
      <c r="B85" s="489"/>
      <c r="C85" s="34"/>
      <c r="D85" s="36" t="s">
        <v>286</v>
      </c>
      <c r="E85" s="44" t="s">
        <v>471</v>
      </c>
      <c r="F85" s="44">
        <v>1</v>
      </c>
      <c r="G85" s="44">
        <v>0</v>
      </c>
      <c r="V85" s="36" t="s">
        <v>287</v>
      </c>
    </row>
    <row r="86" spans="2:22">
      <c r="B86" s="489"/>
      <c r="C86" s="34"/>
      <c r="D86" s="36" t="s">
        <v>294</v>
      </c>
      <c r="E86" s="44" t="s">
        <v>471</v>
      </c>
      <c r="F86" s="44">
        <v>0.6</v>
      </c>
      <c r="G86" s="44">
        <v>1.6</v>
      </c>
      <c r="V86" s="36" t="s">
        <v>295</v>
      </c>
    </row>
    <row r="87" spans="2:22">
      <c r="B87" s="489"/>
      <c r="C87" s="34"/>
      <c r="D87" s="36" t="s">
        <v>386</v>
      </c>
      <c r="E87" s="44" t="s">
        <v>471</v>
      </c>
      <c r="F87" s="44">
        <v>51</v>
      </c>
      <c r="G87" s="44">
        <v>52</v>
      </c>
      <c r="V87" s="36" t="s">
        <v>387</v>
      </c>
    </row>
    <row r="88" spans="2:22">
      <c r="B88" s="489"/>
      <c r="C88" s="34"/>
      <c r="D88" s="36" t="s">
        <v>396</v>
      </c>
      <c r="E88" s="44"/>
      <c r="F88" s="44" t="s">
        <v>397</v>
      </c>
      <c r="G88" s="44" t="s">
        <v>397</v>
      </c>
      <c r="V88" s="36" t="s">
        <v>420</v>
      </c>
    </row>
    <row r="89" spans="2:22">
      <c r="B89" s="489"/>
      <c r="C89" s="34"/>
      <c r="D89" s="36" t="s">
        <v>355</v>
      </c>
      <c r="E89" s="44" t="s">
        <v>472</v>
      </c>
      <c r="F89" s="44" t="s">
        <v>356</v>
      </c>
      <c r="G89" s="44" t="s">
        <v>356</v>
      </c>
      <c r="V89" s="36" t="s">
        <v>419</v>
      </c>
    </row>
    <row r="90" spans="2:22" ht="12" customHeight="1">
      <c r="B90" s="489"/>
      <c r="C90" s="34"/>
      <c r="D90" s="36" t="s">
        <v>288</v>
      </c>
      <c r="E90" s="44" t="s">
        <v>471</v>
      </c>
      <c r="F90" s="44">
        <v>0</v>
      </c>
      <c r="G90" s="44">
        <v>0</v>
      </c>
      <c r="V90" s="36" t="s">
        <v>289</v>
      </c>
    </row>
    <row r="91" spans="2:22">
      <c r="B91" s="489"/>
      <c r="C91" s="34"/>
      <c r="D91" s="36" t="s">
        <v>298</v>
      </c>
      <c r="E91" s="44" t="s">
        <v>471</v>
      </c>
      <c r="F91" s="44">
        <v>1.25</v>
      </c>
      <c r="G91" s="44">
        <v>2.25</v>
      </c>
      <c r="V91" s="36" t="s">
        <v>299</v>
      </c>
    </row>
    <row r="92" spans="2:22">
      <c r="B92" s="489"/>
      <c r="C92" s="34"/>
      <c r="D92" s="36" t="s">
        <v>354</v>
      </c>
      <c r="E92" s="44" t="s">
        <v>472</v>
      </c>
      <c r="F92" s="44" t="s">
        <v>357</v>
      </c>
      <c r="G92" s="44" t="s">
        <v>357</v>
      </c>
      <c r="V92" s="36" t="s">
        <v>421</v>
      </c>
    </row>
    <row r="93" spans="2:22" ht="12" customHeight="1">
      <c r="B93" s="489"/>
      <c r="C93" s="34"/>
      <c r="D93" s="36" t="s">
        <v>290</v>
      </c>
      <c r="E93" s="44" t="s">
        <v>471</v>
      </c>
      <c r="F93" s="44">
        <v>0</v>
      </c>
      <c r="G93" s="44">
        <v>0</v>
      </c>
      <c r="V93" s="36" t="s">
        <v>291</v>
      </c>
    </row>
    <row r="94" spans="2:22">
      <c r="B94" s="489"/>
      <c r="C94" s="34"/>
      <c r="D94" s="36" t="s">
        <v>296</v>
      </c>
      <c r="E94" s="44" t="s">
        <v>471</v>
      </c>
      <c r="F94" s="44">
        <v>2.75</v>
      </c>
      <c r="G94" s="44">
        <v>3.75</v>
      </c>
      <c r="V94" s="36" t="s">
        <v>297</v>
      </c>
    </row>
    <row r="95" spans="2:22" ht="12.75" customHeight="1">
      <c r="B95" s="27"/>
      <c r="C95" s="27"/>
      <c r="E95" s="45"/>
      <c r="F95" s="52"/>
      <c r="G95" s="52"/>
    </row>
    <row r="96" spans="2:22" ht="15" customHeight="1">
      <c r="B96" s="466" t="s">
        <v>410</v>
      </c>
      <c r="C96" s="34"/>
      <c r="D96" s="40" t="s">
        <v>148</v>
      </c>
      <c r="E96" s="44"/>
      <c r="F96" s="44"/>
      <c r="G96" s="44"/>
      <c r="V96" s="36"/>
    </row>
    <row r="97" spans="2:22">
      <c r="B97" s="466"/>
      <c r="C97" s="34"/>
      <c r="D97" s="38" t="s">
        <v>149</v>
      </c>
      <c r="E97" s="44" t="s">
        <v>130</v>
      </c>
      <c r="F97" s="46">
        <v>0.73</v>
      </c>
      <c r="G97" s="46">
        <v>0.73</v>
      </c>
      <c r="V97" s="36"/>
    </row>
    <row r="98" spans="2:22">
      <c r="B98" s="466"/>
      <c r="C98" s="34"/>
      <c r="D98" s="38" t="s">
        <v>150</v>
      </c>
      <c r="E98" s="44" t="s">
        <v>130</v>
      </c>
      <c r="F98" s="46">
        <v>0.27</v>
      </c>
      <c r="G98" s="46">
        <v>0.27272727272727271</v>
      </c>
      <c r="V98" s="36" t="s">
        <v>270</v>
      </c>
    </row>
    <row r="99" spans="2:22">
      <c r="B99" s="466"/>
      <c r="C99" s="34"/>
      <c r="D99" s="36" t="s">
        <v>271</v>
      </c>
      <c r="E99" s="44"/>
      <c r="F99" s="44"/>
      <c r="G99" s="44"/>
      <c r="V99" s="36"/>
    </row>
    <row r="100" spans="2:22">
      <c r="B100" s="466"/>
      <c r="C100" s="34"/>
      <c r="D100" s="38" t="s">
        <v>149</v>
      </c>
      <c r="E100" s="44" t="s">
        <v>130</v>
      </c>
      <c r="F100" s="46">
        <v>0.33</v>
      </c>
      <c r="G100" s="46">
        <v>0.33</v>
      </c>
      <c r="V100" s="36"/>
    </row>
    <row r="101" spans="2:22">
      <c r="B101" s="466"/>
      <c r="C101" s="34"/>
      <c r="D101" s="38" t="s">
        <v>150</v>
      </c>
      <c r="E101" s="44" t="s">
        <v>130</v>
      </c>
      <c r="F101" s="46">
        <v>0.67</v>
      </c>
      <c r="G101" s="46">
        <v>0.67</v>
      </c>
      <c r="V101" s="36"/>
    </row>
    <row r="102" spans="2:22" ht="12" customHeight="1">
      <c r="B102" s="466"/>
      <c r="C102" s="34"/>
      <c r="D102" s="36" t="s">
        <v>272</v>
      </c>
      <c r="E102" s="44" t="s">
        <v>471</v>
      </c>
      <c r="F102" s="44">
        <v>4</v>
      </c>
      <c r="G102" s="44">
        <v>3</v>
      </c>
      <c r="V102" s="36" t="s">
        <v>273</v>
      </c>
    </row>
    <row r="103" spans="2:22">
      <c r="B103" s="466"/>
      <c r="C103" s="34"/>
      <c r="D103" s="39" t="s">
        <v>274</v>
      </c>
      <c r="E103" s="44" t="s">
        <v>471</v>
      </c>
      <c r="F103" s="44">
        <v>33</v>
      </c>
      <c r="G103" s="44">
        <v>31</v>
      </c>
      <c r="V103" s="36" t="s">
        <v>275</v>
      </c>
    </row>
    <row r="104" spans="2:22">
      <c r="B104" s="466"/>
      <c r="C104" s="34"/>
      <c r="D104" s="39" t="s">
        <v>276</v>
      </c>
      <c r="E104" s="44" t="s">
        <v>471</v>
      </c>
      <c r="F104" s="44">
        <v>71</v>
      </c>
      <c r="G104" s="44">
        <v>66</v>
      </c>
      <c r="V104" s="36" t="s">
        <v>277</v>
      </c>
    </row>
    <row r="105" spans="2:22">
      <c r="B105" s="466"/>
      <c r="C105" s="34"/>
      <c r="D105" s="39" t="s">
        <v>278</v>
      </c>
      <c r="E105" s="44" t="s">
        <v>471</v>
      </c>
      <c r="F105" s="44">
        <f>F104-F103</f>
        <v>38</v>
      </c>
      <c r="G105" s="44">
        <v>35</v>
      </c>
      <c r="V105" s="36" t="s">
        <v>279</v>
      </c>
    </row>
    <row r="106" spans="2:22">
      <c r="B106" s="466"/>
      <c r="C106" s="34"/>
      <c r="D106" s="36" t="s">
        <v>359</v>
      </c>
      <c r="E106" s="44" t="s">
        <v>471</v>
      </c>
      <c r="F106" s="44">
        <v>49</v>
      </c>
      <c r="G106" s="44">
        <v>52</v>
      </c>
      <c r="V106" s="36" t="s">
        <v>280</v>
      </c>
    </row>
    <row r="107" spans="2:22">
      <c r="B107" s="466"/>
      <c r="C107" s="34"/>
      <c r="D107" s="39" t="s">
        <v>281</v>
      </c>
      <c r="E107" s="44" t="s">
        <v>422</v>
      </c>
      <c r="F107" s="46" t="s">
        <v>268</v>
      </c>
      <c r="G107" s="46" t="s">
        <v>268</v>
      </c>
      <c r="V107" s="36" t="s">
        <v>282</v>
      </c>
    </row>
    <row r="108" spans="2:22">
      <c r="B108" s="466"/>
      <c r="C108" s="34"/>
      <c r="D108" s="36" t="s">
        <v>376</v>
      </c>
      <c r="E108" s="44" t="s">
        <v>422</v>
      </c>
      <c r="F108" s="44" t="s">
        <v>268</v>
      </c>
      <c r="G108" s="44" t="s">
        <v>268</v>
      </c>
      <c r="V108" s="36" t="s">
        <v>377</v>
      </c>
    </row>
    <row r="109" spans="2:22">
      <c r="B109" s="466"/>
      <c r="C109" s="34"/>
      <c r="D109" s="36" t="s">
        <v>380</v>
      </c>
      <c r="E109" s="44" t="s">
        <v>422</v>
      </c>
      <c r="F109" s="44" t="s">
        <v>256</v>
      </c>
      <c r="G109" s="44" t="s">
        <v>256</v>
      </c>
      <c r="V109" s="36" t="s">
        <v>381</v>
      </c>
    </row>
    <row r="110" spans="2:22">
      <c r="B110" s="466"/>
      <c r="C110" s="34"/>
      <c r="D110" s="36" t="s">
        <v>378</v>
      </c>
      <c r="E110" s="44" t="s">
        <v>422</v>
      </c>
      <c r="F110" s="44" t="s">
        <v>268</v>
      </c>
      <c r="G110" s="44" t="s">
        <v>268</v>
      </c>
      <c r="V110" s="36" t="s">
        <v>379</v>
      </c>
    </row>
    <row r="111" spans="2:22">
      <c r="E111" s="45"/>
      <c r="F111" s="44"/>
      <c r="G111" s="44"/>
    </row>
    <row r="112" spans="2:22">
      <c r="B112" s="464" t="s">
        <v>414</v>
      </c>
      <c r="C112" s="34"/>
      <c r="D112" s="36" t="s">
        <v>152</v>
      </c>
      <c r="E112" s="44" t="s">
        <v>471</v>
      </c>
      <c r="F112" s="44">
        <v>3</v>
      </c>
      <c r="G112" s="44">
        <v>3</v>
      </c>
      <c r="V112" s="36"/>
    </row>
    <row r="113" spans="2:22">
      <c r="B113" s="464"/>
      <c r="C113" s="34"/>
      <c r="D113" s="36" t="s">
        <v>310</v>
      </c>
      <c r="E113" s="44" t="s">
        <v>422</v>
      </c>
      <c r="F113" s="44" t="s">
        <v>268</v>
      </c>
      <c r="G113" s="44" t="s">
        <v>256</v>
      </c>
      <c r="V113" s="36" t="s">
        <v>311</v>
      </c>
    </row>
    <row r="114" spans="2:22">
      <c r="B114" s="464"/>
      <c r="C114" s="34"/>
      <c r="D114" s="36" t="s">
        <v>400</v>
      </c>
      <c r="E114" s="44" t="s">
        <v>422</v>
      </c>
      <c r="F114" s="44" t="s">
        <v>268</v>
      </c>
      <c r="G114" s="44" t="s">
        <v>268</v>
      </c>
      <c r="V114" s="36" t="s">
        <v>401</v>
      </c>
    </row>
    <row r="115" spans="2:22">
      <c r="B115" s="464"/>
      <c r="C115" s="34"/>
      <c r="D115" s="185" t="s">
        <v>312</v>
      </c>
      <c r="E115" s="186"/>
      <c r="F115" s="186"/>
      <c r="G115" s="186"/>
      <c r="V115" s="185"/>
    </row>
    <row r="116" spans="2:22">
      <c r="B116" s="464"/>
      <c r="C116" s="34"/>
      <c r="D116" s="40" t="s">
        <v>153</v>
      </c>
      <c r="E116" s="44" t="s">
        <v>471</v>
      </c>
      <c r="F116" s="44">
        <v>5</v>
      </c>
      <c r="G116" s="44">
        <v>5</v>
      </c>
      <c r="V116" s="36" t="s">
        <v>313</v>
      </c>
    </row>
    <row r="117" spans="2:22">
      <c r="B117" s="464"/>
      <c r="C117" s="34"/>
      <c r="D117" s="40" t="s">
        <v>155</v>
      </c>
      <c r="E117" s="44" t="s">
        <v>471</v>
      </c>
      <c r="F117" s="44">
        <v>3</v>
      </c>
      <c r="G117" s="44">
        <v>3</v>
      </c>
      <c r="V117" s="36" t="s">
        <v>314</v>
      </c>
    </row>
    <row r="118" spans="2:22">
      <c r="B118" s="464"/>
      <c r="C118" s="34"/>
      <c r="D118" s="25" t="s">
        <v>315</v>
      </c>
      <c r="E118" s="44" t="s">
        <v>130</v>
      </c>
      <c r="F118" s="47">
        <v>0.6</v>
      </c>
      <c r="G118" s="47">
        <v>0.6</v>
      </c>
      <c r="V118" s="9" t="s">
        <v>316</v>
      </c>
    </row>
    <row r="119" spans="2:22" ht="12.75" customHeight="1">
      <c r="B119" s="464"/>
      <c r="C119" s="34"/>
      <c r="D119" s="40" t="s">
        <v>317</v>
      </c>
      <c r="E119" s="44" t="s">
        <v>422</v>
      </c>
      <c r="F119" s="44" t="s">
        <v>256</v>
      </c>
      <c r="G119" s="44" t="s">
        <v>256</v>
      </c>
      <c r="V119" s="36" t="s">
        <v>318</v>
      </c>
    </row>
    <row r="120" spans="2:22">
      <c r="B120" s="464"/>
      <c r="C120" s="34"/>
      <c r="D120" s="25" t="s">
        <v>319</v>
      </c>
      <c r="E120" s="44" t="s">
        <v>471</v>
      </c>
      <c r="F120" s="45">
        <v>5</v>
      </c>
      <c r="G120" s="45">
        <v>5</v>
      </c>
      <c r="V120" s="9" t="s">
        <v>320</v>
      </c>
    </row>
    <row r="121" spans="2:22">
      <c r="B121" s="464"/>
      <c r="C121" s="34"/>
      <c r="D121" s="40" t="s">
        <v>469</v>
      </c>
      <c r="E121" s="44" t="s">
        <v>130</v>
      </c>
      <c r="F121" s="46">
        <v>1</v>
      </c>
      <c r="G121" s="46">
        <v>1</v>
      </c>
      <c r="V121" s="9" t="s">
        <v>473</v>
      </c>
    </row>
    <row r="122" spans="2:22">
      <c r="B122" s="464"/>
      <c r="C122" s="34"/>
      <c r="D122" s="40" t="s">
        <v>321</v>
      </c>
      <c r="E122" s="44" t="s">
        <v>471</v>
      </c>
      <c r="F122" s="44">
        <v>17</v>
      </c>
      <c r="G122" s="44">
        <v>13</v>
      </c>
      <c r="V122" s="36" t="s">
        <v>322</v>
      </c>
    </row>
    <row r="123" spans="2:22">
      <c r="B123" s="464"/>
      <c r="C123" s="34"/>
      <c r="D123" s="25" t="s">
        <v>323</v>
      </c>
      <c r="E123" s="45" t="s">
        <v>130</v>
      </c>
      <c r="F123" s="53">
        <v>0.97599999999999998</v>
      </c>
      <c r="G123" s="53">
        <v>0.98499999999999999</v>
      </c>
      <c r="V123" s="9" t="s">
        <v>324</v>
      </c>
    </row>
    <row r="124" spans="2:22">
      <c r="B124" s="464"/>
      <c r="C124" s="34"/>
      <c r="D124" s="185" t="s">
        <v>769</v>
      </c>
      <c r="E124" s="186"/>
      <c r="F124" s="186"/>
      <c r="G124" s="186"/>
      <c r="V124" s="185"/>
    </row>
    <row r="125" spans="2:22">
      <c r="B125" s="464"/>
      <c r="C125" s="34"/>
      <c r="D125" s="25" t="s">
        <v>773</v>
      </c>
      <c r="E125" s="44" t="s">
        <v>471</v>
      </c>
      <c r="F125" s="45">
        <v>5</v>
      </c>
      <c r="G125" s="45">
        <v>3</v>
      </c>
      <c r="V125" s="9" t="s">
        <v>325</v>
      </c>
    </row>
    <row r="126" spans="2:22">
      <c r="B126" s="464"/>
      <c r="C126" s="34"/>
      <c r="D126" s="40" t="s">
        <v>155</v>
      </c>
      <c r="E126" s="44" t="s">
        <v>471</v>
      </c>
      <c r="F126" s="44">
        <v>1</v>
      </c>
      <c r="G126" s="44">
        <v>1</v>
      </c>
      <c r="V126" s="36" t="s">
        <v>326</v>
      </c>
    </row>
    <row r="127" spans="2:22">
      <c r="B127" s="464"/>
      <c r="C127" s="34"/>
      <c r="D127" s="25" t="s">
        <v>774</v>
      </c>
      <c r="E127" s="44" t="s">
        <v>130</v>
      </c>
      <c r="F127" s="53">
        <f>F126/F125</f>
        <v>0.2</v>
      </c>
      <c r="G127" s="53">
        <v>0.33333333333333331</v>
      </c>
      <c r="V127" s="9" t="s">
        <v>327</v>
      </c>
    </row>
    <row r="128" spans="2:22">
      <c r="B128" s="464"/>
      <c r="C128" s="34"/>
      <c r="D128" s="40" t="s">
        <v>775</v>
      </c>
      <c r="E128" s="44" t="s">
        <v>422</v>
      </c>
      <c r="F128" s="44" t="s">
        <v>256</v>
      </c>
      <c r="G128" s="44" t="s">
        <v>256</v>
      </c>
      <c r="V128" s="36" t="s">
        <v>328</v>
      </c>
    </row>
    <row r="129" spans="2:22">
      <c r="B129" s="464"/>
      <c r="C129" s="34"/>
      <c r="D129" s="25" t="s">
        <v>776</v>
      </c>
      <c r="E129" s="44" t="s">
        <v>471</v>
      </c>
      <c r="F129" s="44">
        <v>5</v>
      </c>
      <c r="G129" s="44">
        <v>3</v>
      </c>
      <c r="V129" s="36" t="s">
        <v>329</v>
      </c>
    </row>
    <row r="130" spans="2:22">
      <c r="B130" s="464"/>
      <c r="C130" s="34"/>
      <c r="D130" s="40" t="s">
        <v>777</v>
      </c>
      <c r="E130" s="44" t="s">
        <v>130</v>
      </c>
      <c r="F130" s="53">
        <v>1</v>
      </c>
      <c r="G130" s="53">
        <v>1</v>
      </c>
      <c r="V130" s="9" t="s">
        <v>475</v>
      </c>
    </row>
    <row r="131" spans="2:22">
      <c r="B131" s="464"/>
      <c r="C131" s="34"/>
      <c r="D131" s="40" t="s">
        <v>778</v>
      </c>
      <c r="E131" s="44" t="s">
        <v>471</v>
      </c>
      <c r="F131" s="44">
        <v>11</v>
      </c>
      <c r="G131" s="44">
        <v>15</v>
      </c>
      <c r="V131" s="36" t="s">
        <v>330</v>
      </c>
    </row>
    <row r="132" spans="2:22">
      <c r="B132" s="464"/>
      <c r="C132" s="34"/>
      <c r="D132" s="40" t="s">
        <v>779</v>
      </c>
      <c r="E132" s="44" t="s">
        <v>130</v>
      </c>
      <c r="F132" s="50">
        <v>0.96399999999999997</v>
      </c>
      <c r="G132" s="50">
        <v>0.97699999999999998</v>
      </c>
      <c r="V132" s="36" t="s">
        <v>331</v>
      </c>
    </row>
    <row r="133" spans="2:22">
      <c r="B133" s="464"/>
      <c r="C133" s="34"/>
      <c r="D133" s="185" t="s">
        <v>310</v>
      </c>
      <c r="E133" s="44"/>
      <c r="F133" s="436"/>
      <c r="G133" s="50"/>
      <c r="V133" s="36" t="s">
        <v>311</v>
      </c>
    </row>
    <row r="134" spans="2:22">
      <c r="B134" s="464"/>
      <c r="C134" s="34"/>
      <c r="D134" s="40" t="s">
        <v>780</v>
      </c>
      <c r="E134" s="44" t="s">
        <v>471</v>
      </c>
      <c r="F134" s="436" t="s">
        <v>768</v>
      </c>
      <c r="G134" s="44">
        <v>4</v>
      </c>
      <c r="V134" s="36"/>
    </row>
    <row r="135" spans="2:22">
      <c r="B135" s="464"/>
      <c r="C135" s="34"/>
      <c r="D135" s="25" t="s">
        <v>155</v>
      </c>
      <c r="E135" s="44" t="s">
        <v>471</v>
      </c>
      <c r="F135" s="436" t="s">
        <v>768</v>
      </c>
      <c r="G135" s="44">
        <v>1</v>
      </c>
      <c r="V135" s="36"/>
    </row>
    <row r="136" spans="2:22">
      <c r="B136" s="464"/>
      <c r="C136" s="34"/>
      <c r="D136" s="40" t="s">
        <v>781</v>
      </c>
      <c r="E136" s="44" t="s">
        <v>130</v>
      </c>
      <c r="F136" s="436" t="s">
        <v>768</v>
      </c>
      <c r="G136" s="47">
        <v>0.25</v>
      </c>
      <c r="V136" s="36"/>
    </row>
    <row r="137" spans="2:22">
      <c r="B137" s="464"/>
      <c r="C137" s="34"/>
      <c r="D137" s="25" t="s">
        <v>782</v>
      </c>
      <c r="E137" s="44" t="s">
        <v>422</v>
      </c>
      <c r="F137" s="436" t="s">
        <v>768</v>
      </c>
      <c r="G137" s="44" t="s">
        <v>268</v>
      </c>
      <c r="V137" s="36"/>
    </row>
    <row r="138" spans="2:22">
      <c r="B138" s="464"/>
      <c r="C138" s="34"/>
      <c r="D138" s="40" t="s">
        <v>783</v>
      </c>
      <c r="E138" s="44" t="s">
        <v>471</v>
      </c>
      <c r="F138" s="436" t="s">
        <v>768</v>
      </c>
      <c r="G138" s="45">
        <v>4</v>
      </c>
      <c r="V138" s="36"/>
    </row>
    <row r="139" spans="2:22">
      <c r="B139" s="464"/>
      <c r="C139" s="34"/>
      <c r="D139" s="40" t="s">
        <v>784</v>
      </c>
      <c r="E139" s="45" t="s">
        <v>130</v>
      </c>
      <c r="F139" s="436" t="s">
        <v>768</v>
      </c>
      <c r="G139" s="46">
        <v>1</v>
      </c>
      <c r="V139" s="36"/>
    </row>
    <row r="140" spans="2:22">
      <c r="B140" s="464"/>
      <c r="C140" s="34"/>
      <c r="D140" s="25" t="s">
        <v>785</v>
      </c>
      <c r="E140" s="44" t="s">
        <v>471</v>
      </c>
      <c r="F140" s="436" t="s">
        <v>768</v>
      </c>
      <c r="G140" s="44">
        <v>5</v>
      </c>
      <c r="V140" s="36"/>
    </row>
    <row r="141" spans="2:22">
      <c r="B141" s="464"/>
      <c r="C141" s="34"/>
      <c r="D141" s="36" t="s">
        <v>786</v>
      </c>
      <c r="E141" s="44" t="s">
        <v>130</v>
      </c>
      <c r="F141" s="437" t="s">
        <v>768</v>
      </c>
      <c r="G141" s="53">
        <v>1</v>
      </c>
      <c r="V141" s="36"/>
    </row>
    <row r="142" spans="2:22">
      <c r="B142" s="464"/>
      <c r="C142" s="34"/>
      <c r="D142" s="185" t="s">
        <v>771</v>
      </c>
      <c r="E142" s="186"/>
      <c r="F142" s="186"/>
      <c r="G142" s="436" t="s">
        <v>768</v>
      </c>
      <c r="V142" s="185"/>
    </row>
    <row r="143" spans="2:22">
      <c r="B143" s="464"/>
      <c r="C143" s="34"/>
      <c r="D143" s="40" t="s">
        <v>154</v>
      </c>
      <c r="E143" s="44" t="s">
        <v>471</v>
      </c>
      <c r="F143" s="44">
        <v>5</v>
      </c>
      <c r="G143" s="436" t="s">
        <v>768</v>
      </c>
      <c r="V143" s="36" t="s">
        <v>332</v>
      </c>
    </row>
    <row r="144" spans="2:22">
      <c r="B144" s="464"/>
      <c r="C144" s="34"/>
      <c r="D144" s="25" t="s">
        <v>155</v>
      </c>
      <c r="E144" s="44" t="s">
        <v>471</v>
      </c>
      <c r="F144" s="45">
        <v>1</v>
      </c>
      <c r="G144" s="436" t="s">
        <v>768</v>
      </c>
      <c r="V144" s="9" t="s">
        <v>333</v>
      </c>
    </row>
    <row r="145" spans="2:22">
      <c r="B145" s="464"/>
      <c r="C145" s="34"/>
      <c r="D145" s="40" t="s">
        <v>334</v>
      </c>
      <c r="E145" s="44" t="s">
        <v>130</v>
      </c>
      <c r="F145" s="48">
        <f>1/5</f>
        <v>0.2</v>
      </c>
      <c r="G145" s="436" t="s">
        <v>768</v>
      </c>
      <c r="V145" s="36" t="s">
        <v>335</v>
      </c>
    </row>
    <row r="146" spans="2:22">
      <c r="B146" s="464"/>
      <c r="C146" s="34"/>
      <c r="D146" s="25" t="s">
        <v>336</v>
      </c>
      <c r="E146" s="44" t="s">
        <v>422</v>
      </c>
      <c r="F146" s="45" t="s">
        <v>256</v>
      </c>
      <c r="G146" s="436" t="s">
        <v>768</v>
      </c>
      <c r="V146" s="9" t="s">
        <v>337</v>
      </c>
    </row>
    <row r="147" spans="2:22">
      <c r="B147" s="464"/>
      <c r="C147" s="34"/>
      <c r="D147" s="40" t="s">
        <v>787</v>
      </c>
      <c r="E147" s="44" t="s">
        <v>471</v>
      </c>
      <c r="F147" s="44">
        <v>5</v>
      </c>
      <c r="G147" s="436" t="s">
        <v>768</v>
      </c>
      <c r="V147" s="36" t="s">
        <v>338</v>
      </c>
    </row>
    <row r="148" spans="2:22">
      <c r="B148" s="464"/>
      <c r="C148" s="34"/>
      <c r="D148" s="40" t="s">
        <v>470</v>
      </c>
      <c r="E148" s="45" t="s">
        <v>130</v>
      </c>
      <c r="F148" s="46">
        <v>1</v>
      </c>
      <c r="G148" s="436" t="s">
        <v>768</v>
      </c>
      <c r="V148" s="36" t="s">
        <v>474</v>
      </c>
    </row>
    <row r="149" spans="2:22">
      <c r="B149" s="464"/>
      <c r="C149" s="34"/>
      <c r="D149" s="25" t="s">
        <v>339</v>
      </c>
      <c r="E149" s="44" t="s">
        <v>471</v>
      </c>
      <c r="F149" s="45">
        <v>13</v>
      </c>
      <c r="G149" s="436" t="s">
        <v>768</v>
      </c>
      <c r="V149" s="9" t="s">
        <v>340</v>
      </c>
    </row>
    <row r="150" spans="2:22">
      <c r="B150" s="464"/>
      <c r="C150" s="34"/>
      <c r="D150" s="36" t="s">
        <v>341</v>
      </c>
      <c r="E150" s="44" t="s">
        <v>130</v>
      </c>
      <c r="F150" s="50">
        <v>0.98499999999999999</v>
      </c>
      <c r="G150" s="437" t="s">
        <v>768</v>
      </c>
      <c r="V150" s="36" t="s">
        <v>342</v>
      </c>
    </row>
    <row r="151" spans="2:22">
      <c r="E151" s="45"/>
      <c r="F151" s="54"/>
      <c r="G151" s="54"/>
    </row>
    <row r="152" spans="2:22" ht="28.5" customHeight="1">
      <c r="B152" s="467" t="s">
        <v>415</v>
      </c>
      <c r="C152" s="34"/>
      <c r="D152" s="187" t="s">
        <v>362</v>
      </c>
      <c r="E152" s="44"/>
      <c r="F152" s="188" t="s">
        <v>364</v>
      </c>
      <c r="G152" s="188" t="s">
        <v>364</v>
      </c>
      <c r="V152" s="36" t="s">
        <v>363</v>
      </c>
    </row>
    <row r="153" spans="2:22" ht="24">
      <c r="B153" s="467"/>
      <c r="C153" s="34"/>
      <c r="D153" s="187" t="s">
        <v>370</v>
      </c>
      <c r="E153" s="44"/>
      <c r="F153" s="188" t="s">
        <v>371</v>
      </c>
      <c r="G153" s="188" t="s">
        <v>371</v>
      </c>
      <c r="V153" s="36" t="s">
        <v>372</v>
      </c>
    </row>
    <row r="154" spans="2:22" ht="38.25" customHeight="1">
      <c r="B154" s="467"/>
      <c r="C154" s="34"/>
      <c r="D154" s="187" t="s">
        <v>365</v>
      </c>
      <c r="E154" s="44"/>
      <c r="F154" s="189" t="s">
        <v>508</v>
      </c>
      <c r="G154" s="189" t="s">
        <v>508</v>
      </c>
      <c r="V154" s="36" t="s">
        <v>366</v>
      </c>
    </row>
    <row r="155" spans="2:22" ht="27.75" customHeight="1">
      <c r="B155" s="467"/>
      <c r="C155" s="34"/>
      <c r="D155" s="187" t="s">
        <v>505</v>
      </c>
      <c r="E155" s="44"/>
      <c r="F155" s="190" t="s">
        <v>506</v>
      </c>
      <c r="G155" s="190" t="s">
        <v>766</v>
      </c>
      <c r="V155" s="36" t="s">
        <v>507</v>
      </c>
    </row>
    <row r="156" spans="2:22">
      <c r="B156" s="467"/>
      <c r="C156" s="34"/>
      <c r="D156" s="187" t="s">
        <v>367</v>
      </c>
      <c r="E156" s="44"/>
      <c r="F156" s="191" t="s">
        <v>368</v>
      </c>
      <c r="G156" s="191" t="s">
        <v>368</v>
      </c>
      <c r="V156" s="36" t="s">
        <v>369</v>
      </c>
    </row>
    <row r="157" spans="2:22">
      <c r="E157" s="45"/>
      <c r="F157" s="45"/>
      <c r="G157" s="45"/>
    </row>
    <row r="158" spans="2:22">
      <c r="B158" s="468" t="s">
        <v>417</v>
      </c>
      <c r="C158" s="34"/>
      <c r="D158" s="36" t="s">
        <v>151</v>
      </c>
      <c r="E158" s="44" t="s">
        <v>302</v>
      </c>
      <c r="F158" s="192">
        <v>79.2</v>
      </c>
      <c r="G158" s="192">
        <v>74.400000000000006</v>
      </c>
      <c r="V158" s="41" t="s">
        <v>303</v>
      </c>
    </row>
    <row r="159" spans="2:22">
      <c r="B159" s="468"/>
      <c r="C159" s="34"/>
      <c r="D159" s="35" t="s">
        <v>304</v>
      </c>
      <c r="E159" s="193" t="s">
        <v>302</v>
      </c>
      <c r="F159" s="194">
        <v>1188</v>
      </c>
      <c r="G159" s="194">
        <v>818</v>
      </c>
      <c r="V159" s="35" t="s">
        <v>305</v>
      </c>
    </row>
    <row r="160" spans="2:22">
      <c r="B160" s="468"/>
      <c r="C160" s="34"/>
      <c r="D160" s="36" t="s">
        <v>306</v>
      </c>
      <c r="E160" s="44" t="s">
        <v>302</v>
      </c>
      <c r="F160" s="195">
        <v>10041</v>
      </c>
      <c r="G160" s="195">
        <v>8311</v>
      </c>
      <c r="V160" s="36" t="s">
        <v>307</v>
      </c>
    </row>
    <row r="161" spans="2:22">
      <c r="B161" s="468"/>
      <c r="C161" s="34"/>
      <c r="D161" s="36" t="s">
        <v>308</v>
      </c>
      <c r="E161" s="44" t="s">
        <v>422</v>
      </c>
      <c r="F161" s="44" t="s">
        <v>256</v>
      </c>
      <c r="G161" s="44" t="s">
        <v>256</v>
      </c>
      <c r="V161" s="36" t="s">
        <v>309</v>
      </c>
    </row>
    <row r="163" spans="2:22">
      <c r="D163" s="72" t="s">
        <v>156</v>
      </c>
    </row>
    <row r="165" spans="2:22" ht="14.25">
      <c r="D165" s="396" t="s">
        <v>770</v>
      </c>
    </row>
    <row r="166" spans="2:22" ht="14.25">
      <c r="D166" s="396" t="s">
        <v>772</v>
      </c>
    </row>
    <row r="225" spans="2:7">
      <c r="B225" s="9"/>
      <c r="C225" s="9"/>
      <c r="E225" s="9"/>
      <c r="F225" s="9"/>
      <c r="G225" s="9"/>
    </row>
    <row r="230" spans="2:7">
      <c r="B230" s="9"/>
      <c r="C230" s="9"/>
      <c r="E230" s="9"/>
    </row>
  </sheetData>
  <mergeCells count="10">
    <mergeCell ref="B158:B161"/>
    <mergeCell ref="B82:B94"/>
    <mergeCell ref="B7:B15"/>
    <mergeCell ref="B112:B150"/>
    <mergeCell ref="B152:B156"/>
    <mergeCell ref="B17:B28"/>
    <mergeCell ref="B30:B32"/>
    <mergeCell ref="B96:B110"/>
    <mergeCell ref="B50:B80"/>
    <mergeCell ref="B34:B48"/>
  </mergeCells>
  <hyperlinks>
    <hyperlink ref="F156" r:id="rId1" display="mailto:m.grigoriev@globalports.com" xr:uid="{00000000-0004-0000-0C00-000000000000}"/>
    <hyperlink ref="G156" r:id="rId2" display="mailto:m.grigoriev@globalports.com" xr:uid="{00000000-0004-0000-0C00-000001000000}"/>
  </hyperlinks>
  <pageMargins left="0.7" right="0.7" top="0.75" bottom="0.75" header="0.3" footer="0.3"/>
  <pageSetup paperSize="9" scale="17"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7F83"/>
  </sheetPr>
  <dimension ref="D3:I32"/>
  <sheetViews>
    <sheetView zoomScale="80" zoomScaleNormal="80" workbookViewId="0">
      <selection activeCell="I38" sqref="I38"/>
    </sheetView>
  </sheetViews>
  <sheetFormatPr defaultColWidth="9.140625" defaultRowHeight="12"/>
  <cols>
    <col min="1" max="1" width="3" style="6" customWidth="1"/>
    <col min="2" max="2" width="3.28515625" style="6" customWidth="1"/>
    <col min="3" max="3" width="2.5703125" style="6" customWidth="1"/>
    <col min="4" max="4" width="22.7109375" style="6" customWidth="1"/>
    <col min="5" max="5" width="55.7109375" style="6" customWidth="1"/>
    <col min="6" max="6" width="11.85546875" style="6" customWidth="1"/>
    <col min="7" max="7" width="15.28515625" style="6" customWidth="1"/>
    <col min="8" max="8" width="59.28515625" style="6" customWidth="1"/>
    <col min="9" max="9" width="45.85546875" style="6" customWidth="1"/>
    <col min="10" max="16384" width="9.140625" style="6"/>
  </cols>
  <sheetData>
    <row r="3" spans="4:9" ht="12.75">
      <c r="D3" s="95" t="s">
        <v>214</v>
      </c>
    </row>
    <row r="5" spans="4:9">
      <c r="D5" s="61" t="s">
        <v>116</v>
      </c>
      <c r="E5" s="61" t="s">
        <v>114</v>
      </c>
      <c r="F5" s="64" t="s">
        <v>113</v>
      </c>
      <c r="G5" s="64" t="s">
        <v>111</v>
      </c>
      <c r="H5" s="61" t="s">
        <v>112</v>
      </c>
      <c r="I5" s="61" t="s">
        <v>430</v>
      </c>
    </row>
    <row r="6" spans="4:9">
      <c r="D6" s="32" t="s">
        <v>435</v>
      </c>
      <c r="E6" s="32" t="s">
        <v>115</v>
      </c>
      <c r="F6" s="65" t="s">
        <v>759</v>
      </c>
      <c r="G6" s="65" t="s">
        <v>425</v>
      </c>
      <c r="H6" s="32" t="s">
        <v>436</v>
      </c>
      <c r="I6" s="63" t="s">
        <v>797</v>
      </c>
    </row>
    <row r="7" spans="4:9">
      <c r="D7" s="9"/>
      <c r="E7" s="9"/>
      <c r="F7" s="59"/>
      <c r="G7" s="59"/>
      <c r="H7" s="9"/>
      <c r="I7" s="9"/>
    </row>
    <row r="8" spans="4:9">
      <c r="D8" s="62" t="s">
        <v>434</v>
      </c>
      <c r="E8" s="62" t="s">
        <v>115</v>
      </c>
      <c r="F8" s="66" t="s">
        <v>683</v>
      </c>
      <c r="G8" s="66" t="s">
        <v>425</v>
      </c>
      <c r="H8" s="62" t="s">
        <v>424</v>
      </c>
      <c r="I8" s="62" t="s">
        <v>796</v>
      </c>
    </row>
    <row r="9" spans="4:9">
      <c r="D9" s="36" t="s">
        <v>434</v>
      </c>
      <c r="E9" s="36" t="s">
        <v>699</v>
      </c>
      <c r="F9" s="67" t="s">
        <v>683</v>
      </c>
      <c r="G9" s="67" t="s">
        <v>425</v>
      </c>
      <c r="H9" s="36" t="s">
        <v>426</v>
      </c>
      <c r="I9" s="36" t="s">
        <v>796</v>
      </c>
    </row>
    <row r="10" spans="4:9">
      <c r="D10" s="63" t="s">
        <v>434</v>
      </c>
      <c r="E10" s="63" t="s">
        <v>698</v>
      </c>
      <c r="F10" s="68" t="s">
        <v>683</v>
      </c>
      <c r="G10" s="68" t="s">
        <v>425</v>
      </c>
      <c r="H10" s="63" t="s">
        <v>426</v>
      </c>
      <c r="I10" s="63" t="s">
        <v>796</v>
      </c>
    </row>
    <row r="11" spans="4:9">
      <c r="D11" s="9"/>
      <c r="E11" s="9"/>
      <c r="F11" s="59"/>
      <c r="G11" s="59"/>
      <c r="H11" s="9"/>
      <c r="I11" s="9"/>
    </row>
    <row r="12" spans="4:9">
      <c r="D12" s="62" t="s">
        <v>110</v>
      </c>
      <c r="E12" s="62" t="s">
        <v>115</v>
      </c>
      <c r="F12" s="66" t="s">
        <v>431</v>
      </c>
      <c r="G12" s="66" t="s">
        <v>425</v>
      </c>
      <c r="H12" s="62" t="s">
        <v>432</v>
      </c>
      <c r="I12" s="62" t="s">
        <v>798</v>
      </c>
    </row>
    <row r="13" spans="4:9">
      <c r="D13" s="36" t="s">
        <v>110</v>
      </c>
      <c r="E13" s="36" t="s">
        <v>427</v>
      </c>
      <c r="F13" s="67" t="s">
        <v>431</v>
      </c>
      <c r="G13" s="67" t="s">
        <v>425</v>
      </c>
      <c r="H13" s="36" t="s">
        <v>433</v>
      </c>
      <c r="I13" s="36" t="s">
        <v>799</v>
      </c>
    </row>
    <row r="14" spans="4:9">
      <c r="D14" s="36" t="s">
        <v>110</v>
      </c>
      <c r="E14" s="36" t="s">
        <v>428</v>
      </c>
      <c r="F14" s="67" t="s">
        <v>431</v>
      </c>
      <c r="G14" s="67" t="s">
        <v>425</v>
      </c>
      <c r="H14" s="36" t="s">
        <v>433</v>
      </c>
      <c r="I14" s="36" t="s">
        <v>799</v>
      </c>
    </row>
    <row r="15" spans="4:9">
      <c r="D15" s="63" t="s">
        <v>110</v>
      </c>
      <c r="E15" s="63" t="s">
        <v>429</v>
      </c>
      <c r="F15" s="68" t="s">
        <v>431</v>
      </c>
      <c r="G15" s="68" t="s">
        <v>425</v>
      </c>
      <c r="H15" s="63" t="s">
        <v>433</v>
      </c>
      <c r="I15" s="63" t="s">
        <v>799</v>
      </c>
    </row>
    <row r="17" spans="4:5">
      <c r="D17" s="72" t="s">
        <v>588</v>
      </c>
    </row>
    <row r="32" spans="4:5" ht="15.75">
      <c r="E32" s="6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Summary</vt:lpstr>
      <vt:lpstr>P&amp;L</vt:lpstr>
      <vt:lpstr>Balance sheet</vt:lpstr>
      <vt:lpstr>Cash flow</vt:lpstr>
      <vt:lpstr>Segment data</vt:lpstr>
      <vt:lpstr>Container Market Statictics</vt:lpstr>
      <vt:lpstr>Operational Data</vt:lpstr>
      <vt:lpstr>Non-IFRS financial measures</vt:lpstr>
      <vt:lpstr>Debt and Borrowings</vt:lpstr>
      <vt:lpstr>Securities</vt:lpstr>
      <vt:lpstr>Dividends</vt:lpstr>
      <vt:lpstr>Assets Description</vt:lpstr>
      <vt:lpstr>ESG</vt:lpstr>
      <vt:lpstr>Ratings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Khansuvarova</dc:creator>
  <cp:lastModifiedBy>Tatiana Khansuvarova</cp:lastModifiedBy>
  <cp:lastPrinted>2020-03-04T07:32:40Z</cp:lastPrinted>
  <dcterms:created xsi:type="dcterms:W3CDTF">2019-06-05T08:01:09Z</dcterms:created>
  <dcterms:modified xsi:type="dcterms:W3CDTF">2020-08-18T15:20:45Z</dcterms:modified>
</cp:coreProperties>
</file>